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V:\AGUA DE IVOTI\LICITACOES\PCE - PREGAO ELETRONICO\2025\Pregão 03.2025 - Tapa buraco\Versões_Orçamento_2025\"/>
    </mc:Choice>
  </mc:AlternateContent>
  <xr:revisionPtr revIDLastSave="0" documentId="13_ncr:1_{D0AC5C7D-4EC2-4F61-9081-357D7CDD5CEE}" xr6:coauthVersionLast="47" xr6:coauthVersionMax="47" xr10:uidLastSave="{00000000-0000-0000-0000-000000000000}"/>
  <bookViews>
    <workbookView xWindow="-120" yWindow="-120" windowWidth="29040" windowHeight="15840" xr2:uid="{6DA2B97A-D8B3-4F6A-AAEA-F16051EFCB56}"/>
  </bookViews>
  <sheets>
    <sheet name="Planilha" sheetId="1" r:id="rId1"/>
    <sheet name="Dados_gerais" sheetId="3" r:id="rId2"/>
    <sheet name="Caminhão basc 6 m³" sheetId="16" r:id="rId3"/>
    <sheet name="Caminhão basc 10 m³" sheetId="8" r:id="rId4"/>
    <sheet name="Caminhão silo 30 m²" sheetId="9" r:id="rId5"/>
    <sheet name="Insumos_betum" sheetId="10" r:id="rId6"/>
    <sheet name="Composições_próprias_1" sheetId="15" r:id="rId7"/>
    <sheet name="Composições_próprias_2" sheetId="14" r:id="rId8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" i="3" l="1"/>
  <c r="N6" i="3" l="1"/>
  <c r="J115" i="14" l="1"/>
  <c r="J104" i="14"/>
  <c r="N6" i="15" l="1"/>
  <c r="N5" i="15"/>
  <c r="B7" i="3"/>
  <c r="B6" i="3" s="1"/>
  <c r="G8" i="1" s="1"/>
  <c r="I7" i="16"/>
  <c r="I8" i="16" s="1"/>
  <c r="I11" i="16" s="1"/>
  <c r="I12" i="16" s="1"/>
  <c r="I25" i="16" s="1"/>
  <c r="J69" i="14" s="1"/>
  <c r="J64" i="14"/>
  <c r="J66" i="14" s="1"/>
  <c r="J56" i="14"/>
  <c r="J44" i="14"/>
  <c r="H6" i="15" l="1"/>
  <c r="J5" i="15"/>
  <c r="M5" i="15" l="1"/>
  <c r="P5" i="15" s="1"/>
  <c r="O5" i="15"/>
  <c r="J6" i="15"/>
  <c r="J7" i="15" l="1"/>
  <c r="H8" i="1" s="1"/>
  <c r="M6" i="15"/>
  <c r="O6" i="15"/>
  <c r="O7" i="15" s="1"/>
  <c r="N8" i="1" s="1"/>
  <c r="F30" i="10"/>
  <c r="G57" i="14" s="1"/>
  <c r="J70" i="14"/>
  <c r="M7" i="15" l="1"/>
  <c r="M8" i="1" s="1"/>
  <c r="P6" i="15"/>
  <c r="P7" i="15" s="1"/>
  <c r="J57" i="14"/>
  <c r="J58" i="14" s="1"/>
  <c r="J47" i="14"/>
  <c r="J48" i="14" s="1"/>
  <c r="J43" i="14"/>
  <c r="J42" i="14"/>
  <c r="J8" i="1"/>
  <c r="K8" i="1" s="1"/>
  <c r="G9" i="1"/>
  <c r="S8" i="1"/>
  <c r="R8" i="1" l="1"/>
  <c r="T8" i="1"/>
  <c r="V8" i="1"/>
  <c r="U8" i="1"/>
  <c r="V9" i="1"/>
  <c r="U9" i="1"/>
  <c r="J45" i="14"/>
  <c r="I8" i="1"/>
  <c r="G22" i="14"/>
  <c r="J22" i="14" s="1"/>
  <c r="J23" i="14" s="1"/>
  <c r="J13" i="14"/>
  <c r="J14" i="14" s="1"/>
  <c r="J10" i="14"/>
  <c r="J9" i="14"/>
  <c r="W8" i="1" l="1"/>
  <c r="J49" i="14"/>
  <c r="J50" i="14" s="1"/>
  <c r="J11" i="14"/>
  <c r="J52" i="14" l="1"/>
  <c r="J51" i="14"/>
  <c r="J53" i="14"/>
  <c r="O10" i="1" s="1"/>
  <c r="J15" i="14"/>
  <c r="J16" i="14" s="1"/>
  <c r="J114" i="14"/>
  <c r="J113" i="14"/>
  <c r="J112" i="14"/>
  <c r="J111" i="14"/>
  <c r="J110" i="14"/>
  <c r="J103" i="14"/>
  <c r="J102" i="14"/>
  <c r="J100" i="14"/>
  <c r="J99" i="14"/>
  <c r="J98" i="14"/>
  <c r="J97" i="14"/>
  <c r="J88" i="14"/>
  <c r="J89" i="14" s="1"/>
  <c r="J85" i="14"/>
  <c r="J84" i="14"/>
  <c r="J83" i="14"/>
  <c r="J82" i="14"/>
  <c r="J81" i="14"/>
  <c r="J116" i="14" l="1"/>
  <c r="K66" i="14" s="1"/>
  <c r="P10" i="1" s="1"/>
  <c r="J18" i="14"/>
  <c r="M9" i="1" s="1"/>
  <c r="R9" i="1" s="1"/>
  <c r="J17" i="14"/>
  <c r="N9" i="1" s="1"/>
  <c r="S9" i="1" s="1"/>
  <c r="J19" i="14"/>
  <c r="O9" i="1" s="1"/>
  <c r="T9" i="1" s="1"/>
  <c r="J26" i="14"/>
  <c r="J86" i="14"/>
  <c r="J90" i="14" l="1"/>
  <c r="J91" i="14" s="1"/>
  <c r="J32" i="14"/>
  <c r="H9" i="1" s="1"/>
  <c r="G10" i="1"/>
  <c r="U10" i="1" l="1"/>
  <c r="U11" i="1" s="1"/>
  <c r="T10" i="1"/>
  <c r="T11" i="1" s="1"/>
  <c r="J93" i="14"/>
  <c r="K52" i="14" s="1"/>
  <c r="M10" i="1" s="1"/>
  <c r="R10" i="1" s="1"/>
  <c r="R11" i="1" s="1"/>
  <c r="J92" i="14"/>
  <c r="K51" i="14" s="1"/>
  <c r="J9" i="1"/>
  <c r="I9" i="1"/>
  <c r="F8" i="10"/>
  <c r="F19" i="10"/>
  <c r="G101" i="14" s="1"/>
  <c r="J101" i="14" s="1"/>
  <c r="I7" i="9"/>
  <c r="I8" i="9" s="1"/>
  <c r="I11" i="9" s="1"/>
  <c r="I12" i="9" s="1"/>
  <c r="I19" i="9" s="1"/>
  <c r="I7" i="8"/>
  <c r="I8" i="8" s="1"/>
  <c r="I11" i="8" s="1"/>
  <c r="I12" i="8" s="1"/>
  <c r="I19" i="8" s="1"/>
  <c r="I25" i="8" s="1"/>
  <c r="J124" i="14" s="1"/>
  <c r="J105" i="14" l="1"/>
  <c r="K58" i="14" s="1"/>
  <c r="N10" i="1" s="1"/>
  <c r="S10" i="1" s="1"/>
  <c r="S11" i="1" s="1"/>
  <c r="K9" i="1"/>
  <c r="I25" i="9"/>
  <c r="J122" i="14" s="1"/>
  <c r="J123" i="14"/>
  <c r="J121" i="14"/>
  <c r="J120" i="14"/>
  <c r="J119" i="14"/>
  <c r="J125" i="14" s="1"/>
  <c r="J108" i="14"/>
  <c r="K70" i="14" l="1"/>
  <c r="Q10" i="1" s="1"/>
  <c r="V10" i="1" s="1"/>
  <c r="V11" i="1" s="1"/>
  <c r="W9" i="1"/>
  <c r="J126" i="14" l="1"/>
  <c r="J127" i="14" s="1"/>
  <c r="G60" i="14" s="1"/>
  <c r="J60" i="14" s="1"/>
  <c r="J61" i="14" s="1"/>
  <c r="J62" i="14" s="1"/>
  <c r="J71" i="14" s="1"/>
  <c r="H10" i="1" s="1"/>
  <c r="I10" i="1" s="1"/>
  <c r="J10" i="1" l="1"/>
  <c r="K10" i="1" s="1"/>
  <c r="K11" i="1" s="1"/>
  <c r="W10" i="1"/>
  <c r="W11" i="1" s="1"/>
  <c r="S13" i="1" s="1"/>
  <c r="U13" i="1" l="1"/>
  <c r="V13" i="1"/>
  <c r="T13" i="1"/>
  <c r="R13" i="1"/>
  <c r="W13" i="1" l="1"/>
</calcChain>
</file>

<file path=xl/sharedStrings.xml><?xml version="1.0" encoding="utf-8"?>
<sst xmlns="http://schemas.openxmlformats.org/spreadsheetml/2006/main" count="692" uniqueCount="230">
  <si>
    <t>Item</t>
  </si>
  <si>
    <t>Código</t>
  </si>
  <si>
    <t>Banco</t>
  </si>
  <si>
    <t>Descrição</t>
  </si>
  <si>
    <t>Und</t>
  </si>
  <si>
    <t>Quant.</t>
  </si>
  <si>
    <t>B.D.I.</t>
  </si>
  <si>
    <t>Preço Unit.</t>
  </si>
  <si>
    <t>Preço Total</t>
  </si>
  <si>
    <t>Preço Unitário c/ BDI</t>
  </si>
  <si>
    <t>Preço Total c/ BDI</t>
  </si>
  <si>
    <t>Data de referência</t>
  </si>
  <si>
    <t>Transporte do material fresado</t>
  </si>
  <si>
    <t>m³</t>
  </si>
  <si>
    <t>CGCIT</t>
  </si>
  <si>
    <t>DNIT</t>
  </si>
  <si>
    <t>SISTEMA DE CUSTOS REFERENCIAIS DE OBRAS - SICRO</t>
  </si>
  <si>
    <t>Rio Grande do Sul</t>
  </si>
  <si>
    <t>FIC</t>
  </si>
  <si>
    <t>Custo Unitário de Referência</t>
  </si>
  <si>
    <t xml:space="preserve">Produção da equipe </t>
  </si>
  <si>
    <t>m²</t>
  </si>
  <si>
    <t>Valores em reais (R$)</t>
  </si>
  <si>
    <t>A - EQUIPAMENTOS</t>
  </si>
  <si>
    <t>Quantidade</t>
  </si>
  <si>
    <t>Utilização</t>
  </si>
  <si>
    <t>Custo Horário</t>
  </si>
  <si>
    <t>Custo</t>
  </si>
  <si>
    <t>Operativa</t>
  </si>
  <si>
    <t>Improdutiva</t>
  </si>
  <si>
    <t>Produtivo</t>
  </si>
  <si>
    <t>Improdutivo</t>
  </si>
  <si>
    <t>Horário Total</t>
  </si>
  <si>
    <t>E9509</t>
  </si>
  <si>
    <t>Caminhão tanque distribuidor de asfalto com capacidade de 6.000 l - 7 kW/136 kW</t>
  </si>
  <si>
    <t>E9558</t>
  </si>
  <si>
    <t>Tanque de estocagem de asfalto com capacidade de 30.000 l</t>
  </si>
  <si>
    <t>Custo horário total de equipamentos</t>
  </si>
  <si>
    <t>B - MÃO DE OBRA</t>
  </si>
  <si>
    <t>Unidade</t>
  </si>
  <si>
    <t>Custo Horário Total</t>
  </si>
  <si>
    <t>P9824</t>
  </si>
  <si>
    <t>h</t>
  </si>
  <si>
    <t>Custo horário total de mão de obra</t>
  </si>
  <si>
    <t>Custo horário total de execução</t>
  </si>
  <si>
    <t>Custo unitário de execução</t>
  </si>
  <si>
    <t>Custo do FIC</t>
  </si>
  <si>
    <t>Custo do FIT</t>
  </si>
  <si>
    <t>-</t>
  </si>
  <si>
    <t>C - MATERIAL</t>
  </si>
  <si>
    <t>Preço Unitário</t>
  </si>
  <si>
    <t>Custo Unitário</t>
  </si>
  <si>
    <t>t</t>
  </si>
  <si>
    <t>Custo unitário total de material</t>
  </si>
  <si>
    <t>D - ATIVIDADES AUXILIARES</t>
  </si>
  <si>
    <t>Custo total de atividades auxiliares</t>
  </si>
  <si>
    <t>Subtotal</t>
  </si>
  <si>
    <t>E - TEMPO FIXO</t>
  </si>
  <si>
    <t>Custo unitário total de tempo fixo</t>
  </si>
  <si>
    <t>F - MOMENTO DE TRANSPORTE</t>
  </si>
  <si>
    <t>DMT</t>
  </si>
  <si>
    <t>LN</t>
  </si>
  <si>
    <t>RP</t>
  </si>
  <si>
    <t>P</t>
  </si>
  <si>
    <t>Custo unitário total de transporte</t>
  </si>
  <si>
    <t>Custo unitário direto total</t>
  </si>
  <si>
    <t>Obs.</t>
  </si>
  <si>
    <t>RS</t>
  </si>
  <si>
    <t>m³ x km</t>
  </si>
  <si>
    <t>tkm</t>
  </si>
  <si>
    <t>E9559</t>
  </si>
  <si>
    <t>Aquecedor de fluido térmico - 12 kW</t>
  </si>
  <si>
    <t>E9584</t>
  </si>
  <si>
    <t>Carregadeira de pneus com capacidade de 1,72 m³ - 113 kW</t>
  </si>
  <si>
    <t>E9021</t>
  </si>
  <si>
    <t>Grupo gerador - 456 kVA</t>
  </si>
  <si>
    <t>E9689</t>
  </si>
  <si>
    <t>Usina de asfalto a quente gravimétrica com capacidade de 100/140 t/h - 260 kW</t>
  </si>
  <si>
    <t>M0028</t>
  </si>
  <si>
    <t>Areia média</t>
  </si>
  <si>
    <t>M0005</t>
  </si>
  <si>
    <t>Brita 0</t>
  </si>
  <si>
    <t>M0191</t>
  </si>
  <si>
    <t>Brita 1</t>
  </si>
  <si>
    <t>M0344</t>
  </si>
  <si>
    <t>Cal hidratada - a granel</t>
  </si>
  <si>
    <t>kg</t>
  </si>
  <si>
    <t>M1943</t>
  </si>
  <si>
    <t>Cimento asfáltico de petróleo - CAP 50/70</t>
  </si>
  <si>
    <t>M1941</t>
  </si>
  <si>
    <t>Óleo tipo A1</t>
  </si>
  <si>
    <t>l</t>
  </si>
  <si>
    <t>M1103</t>
  </si>
  <si>
    <t>Pedrisco</t>
  </si>
  <si>
    <t>Areia média - Caminhão basculante 10 m³</t>
  </si>
  <si>
    <t>5914647</t>
  </si>
  <si>
    <t>Brita 0 - Caminhão basculante 10 m³</t>
  </si>
  <si>
    <t>Brita 1 - Caminhão basculante 10 m³</t>
  </si>
  <si>
    <t>Cal hidratada - a granel - Caminhão silo 30 m³</t>
  </si>
  <si>
    <t>5914363</t>
  </si>
  <si>
    <t>Pedrisco - Caminhão basculante 10 m³</t>
  </si>
  <si>
    <t>5914366</t>
  </si>
  <si>
    <t>DMTs</t>
  </si>
  <si>
    <t>Materiais em transporte</t>
  </si>
  <si>
    <t>DMT (km)</t>
  </si>
  <si>
    <t>Tipo Via</t>
  </si>
  <si>
    <t>Pavimentada</t>
  </si>
  <si>
    <t>Usinagem do CA - Trecho de disposição do CA</t>
  </si>
  <si>
    <t>Brita 0 - Usinagem</t>
  </si>
  <si>
    <t>Brita 1 - Usinagem</t>
  </si>
  <si>
    <t>Pedrisco - Usinagem</t>
  </si>
  <si>
    <t>Cal hidratada - Usinagem</t>
  </si>
  <si>
    <t>Transporte com caminhão basculante de 10 m³ - rodovia pavimentada</t>
  </si>
  <si>
    <t>E9579</t>
  </si>
  <si>
    <t>Caminhão basculante com capacidade de 10 m³ - 210 kW</t>
  </si>
  <si>
    <t>Areia média - Usinagem</t>
  </si>
  <si>
    <t>Transporte de cimento ou cal hidratada a granel com caminhão silo de 30 m³ - rodovia pavimentada</t>
  </si>
  <si>
    <t>E9146</t>
  </si>
  <si>
    <t>Caminhão silo com capacidade de 30 m³ - 265 kW</t>
  </si>
  <si>
    <t>Densidade do CA</t>
  </si>
  <si>
    <t>t/m³</t>
  </si>
  <si>
    <t>NOTA 03: Quando não houver declaração de venda do produto selecionado, ou quando a declaração de venda do produto ocorrer por menos de 03 (três) distribuidoras, a tabela indicará vazio.</t>
  </si>
  <si>
    <t>NOTA 02:  As informações dão baseadas em dados preliminares, portanto sujeitos a reprocessamento pos parte dos informantes nos moldes da Resolução n° ANP 729/2019.</t>
  </si>
  <si>
    <t xml:space="preserve">NOTA 01: Preços à vista, sem frete, com todos os impostos inclusos, à exceção do ICMS, dos PIS/Pasep e da Cofins. </t>
  </si>
  <si>
    <t>PREÇO ATUALIZADO:</t>
  </si>
  <si>
    <t>COFINS</t>
  </si>
  <si>
    <t>PIS</t>
  </si>
  <si>
    <t>ICMS</t>
  </si>
  <si>
    <t>PRECO</t>
  </si>
  <si>
    <t>ESTADO</t>
  </si>
  <si>
    <t>PRODUTO</t>
  </si>
  <si>
    <t>MÊS</t>
  </si>
  <si>
    <t>PA= preço/(1-imposto)</t>
  </si>
  <si>
    <t>PREÇO MÉDIO MENSAL PONDERADO PRATICADO PELOS DISTRIBUIDORES DE PRODUTOS ASFÁLTICOS (R$/KG)</t>
  </si>
  <si>
    <t>SUPERINTENDÊNCIA DE DEFESA DA CONCORRÊNCIA</t>
  </si>
  <si>
    <t>PRÓPRIA</t>
  </si>
  <si>
    <t>Fator de majoração</t>
  </si>
  <si>
    <t xml:space="preserve">Total </t>
  </si>
  <si>
    <t>Usinagem de concreto asfáltico - faixa C - areia e brita comerciais</t>
  </si>
  <si>
    <t>Baseado em 6416078 - Usinagem de concreto asfáltico - faixa C - areia e brita comerciais</t>
  </si>
  <si>
    <t>Usinagem de concreto asfáltico - faixa C - areia e brita comerciais (acrescido de 20,65% de ICMS + PIS + COFINS)</t>
  </si>
  <si>
    <t>Escavação mecanizada de vala com profundidade até 1,5 m (média montante e jusante/uma composição por trecho), retroescav. (0,26 m³), largura de 0,8 m a 1,5 m, em solo de 1ª categoria, locais com baixo nível de interferência. AF_09/2024</t>
  </si>
  <si>
    <t>Empolamento - solo</t>
  </si>
  <si>
    <t>Custo unitário direto total (m³)</t>
  </si>
  <si>
    <t>Custo unitário direto total (t)</t>
  </si>
  <si>
    <t>Orçamento</t>
  </si>
  <si>
    <t>Autarquia Água de Ivoti</t>
  </si>
  <si>
    <t>Obras e Serviços de Engenharia</t>
  </si>
  <si>
    <t>Nº</t>
  </si>
  <si>
    <t>Ano</t>
  </si>
  <si>
    <t>CNPJ</t>
  </si>
  <si>
    <t>18.346.935/0001-90</t>
  </si>
  <si>
    <t>Eng. Bruno de Souza Chaves</t>
  </si>
  <si>
    <t>CREA/RS 249.064</t>
  </si>
  <si>
    <t>COMPOSIÇÕES PRÓPRIAS</t>
  </si>
  <si>
    <t>AGÊNCIA NACIONAL DE PETRÓLEO, GÁS NATURAL E BIOCOMBUSTÍVEIS</t>
  </si>
  <si>
    <t>CP 01</t>
  </si>
  <si>
    <t>CP 02</t>
  </si>
  <si>
    <t>M0104</t>
  </si>
  <si>
    <t>Asfalto diluído de petróleo - CM-30</t>
  </si>
  <si>
    <t>Imprimação com asfalto diluído (acrescido de 20,65% de ICMS + PIS + COFINS)</t>
  </si>
  <si>
    <t>Baseado em 4011351 - Imprimação com asfalto diluído</t>
  </si>
  <si>
    <t>Tapa-buracos</t>
  </si>
  <si>
    <t>Vol. Total</t>
  </si>
  <si>
    <t>Área Total</t>
  </si>
  <si>
    <t>CP 03B</t>
  </si>
  <si>
    <t>E9155</t>
  </si>
  <si>
    <t>Caldeira de asfalto rebocável com capacidade de 600 l - 5,20 kW</t>
  </si>
  <si>
    <t>M1946</t>
  </si>
  <si>
    <t>Emulsão asfáltica - RR-1C</t>
  </si>
  <si>
    <t>Baseado em 4915757 - Tapa buraco com pintura de ligação - demolição com serra corta piso</t>
  </si>
  <si>
    <t>E9682</t>
  </si>
  <si>
    <t>Rolo compactador liso tandem vibratório autopropelido de 1,6 t - 18 kW</t>
  </si>
  <si>
    <t>EMULSÃO ASFÁLTICA PARA SERVIÇO DE IMPRIMAÇÃO</t>
  </si>
  <si>
    <t>Transporte com caminhão basculante de 14 m³, em via urbana pavimentada, DMT até 30 km (unidade: m³ x km). AF_07/2020</t>
  </si>
  <si>
    <t>Tapa buraco com pintura de ligação - sem demolição (acrescido de 20,65% de ICMS + PIS + COFINS)</t>
  </si>
  <si>
    <t>P unit MO</t>
  </si>
  <si>
    <t>P unit TF</t>
  </si>
  <si>
    <t>P unit trans</t>
  </si>
  <si>
    <t>P MO</t>
  </si>
  <si>
    <t>P TF</t>
  </si>
  <si>
    <t>P unit FIC</t>
  </si>
  <si>
    <t>P FIC</t>
  </si>
  <si>
    <t>P trans</t>
  </si>
  <si>
    <t>Total</t>
  </si>
  <si>
    <t>Perc</t>
  </si>
  <si>
    <t>CP 01 - Escavação e transporte de solo de 1ª categoria - DMT de até 30 km</t>
  </si>
  <si>
    <t>CP03</t>
  </si>
  <si>
    <t>CP 03</t>
  </si>
  <si>
    <t>Escavação e transporte de solo de 1ª categoria - DMT de até 30 km</t>
  </si>
  <si>
    <t>E9591</t>
  </si>
  <si>
    <t>Serra para corte de concreto e asfalto - 10 kW</t>
  </si>
  <si>
    <t>M1385</t>
  </si>
  <si>
    <t>Disco de corte diamantado para concreto e asfalto - D = 350 mm</t>
  </si>
  <si>
    <t>un</t>
  </si>
  <si>
    <t>M3507</t>
  </si>
  <si>
    <t>Revestimento asfáltico - Caminhão basculante 6 m³</t>
  </si>
  <si>
    <t>5915433</t>
  </si>
  <si>
    <t>5914344</t>
  </si>
  <si>
    <t>Transporte com caminhão basculante de 6 m³ - rodovia pavimentada</t>
  </si>
  <si>
    <t>E9506</t>
  </si>
  <si>
    <t>Caminhão basculante com capacidade de 6 m³ - 136 kW</t>
  </si>
  <si>
    <t>ASFALTOS DILUÍDOS CM-30</t>
  </si>
  <si>
    <t>CIMENTOS ASFÁLTICOS CAP-50-70</t>
  </si>
  <si>
    <t>Custo unitário de equipamentos</t>
  </si>
  <si>
    <t>Custo unitário de mão de obra</t>
  </si>
  <si>
    <t>Custos unitários - ativ. Auxiliar</t>
  </si>
  <si>
    <t>Porc. MO</t>
  </si>
  <si>
    <t>Porc EQ/MAT</t>
  </si>
  <si>
    <t>P EQ/MAT</t>
  </si>
  <si>
    <t>Preço MO</t>
  </si>
  <si>
    <t>Preço EQ/MAT</t>
  </si>
  <si>
    <t>P unit EQ/MAT</t>
  </si>
  <si>
    <t>Ata de registro de preço para serviço de tapa-buracos em Ivoti/RS</t>
  </si>
  <si>
    <t>Janeiro/2025</t>
  </si>
  <si>
    <t>Tapa buraco com pintura de ligação (acrescido de 20,65% de ICMS + PIS + COFINS)</t>
  </si>
  <si>
    <t>M1135</t>
  </si>
  <si>
    <t>Pó de pedra</t>
  </si>
  <si>
    <t>Pó de pedra - Caminhão basculante 10 m³</t>
  </si>
  <si>
    <t>Ivoti, 14 de maio de 2025</t>
  </si>
  <si>
    <t>AC</t>
  </si>
  <si>
    <t>S+G</t>
  </si>
  <si>
    <t>R</t>
  </si>
  <si>
    <t>DF</t>
  </si>
  <si>
    <t>L</t>
  </si>
  <si>
    <t>I</t>
  </si>
  <si>
    <t>ISSQN</t>
  </si>
  <si>
    <t>CPRB</t>
  </si>
  <si>
    <t>Servente (Não desonerado)</t>
  </si>
  <si>
    <t>SINAPI/RS Não Desonerado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</si>
</sst>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000"/>
    <numFmt numFmtId="165" formatCode="#,##0.0000"/>
    <numFmt numFmtId="166" formatCode="&quot;R$&quot;\ 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i/>
      <sz val="14"/>
      <color rgb="FF003770"/>
      <name val="Arial Black"/>
      <family val="2"/>
    </font>
    <font>
      <sz val="11"/>
      <color rgb="FF000000"/>
      <name val="Arial"/>
      <family val="2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b/>
      <i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sz val="10"/>
      <color rgb="FF000000"/>
      <name val="Arial Narrow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0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sz val="11"/>
      <color rgb="FFFF0000"/>
      <name val="Arial"/>
      <family val="2"/>
    </font>
    <font>
      <b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CCCCCC"/>
      </patternFill>
    </fill>
    <fill>
      <patternFill patternType="solid">
        <fgColor theme="0" tint="-0.14999847407452621"/>
        <bgColor rgb="FFCCCCCC"/>
      </patternFill>
    </fill>
    <fill>
      <patternFill patternType="solid">
        <fgColor rgb="FFDEE6EF"/>
        <bgColor rgb="FFDEE6EF"/>
      </patternFill>
    </fill>
    <fill>
      <patternFill patternType="solid">
        <fgColor theme="0" tint="-0.14999847407452621"/>
        <bgColor rgb="FFDEE6EF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indexed="64"/>
      </right>
      <top style="thin">
        <color rgb="FF000000"/>
      </top>
      <bottom style="medium">
        <color auto="1"/>
      </bottom>
      <diagonal/>
    </border>
    <border>
      <left/>
      <right/>
      <top style="thin">
        <color rgb="FF000000"/>
      </top>
      <bottom style="medium">
        <color auto="1"/>
      </bottom>
      <diagonal/>
    </border>
    <border>
      <left style="medium">
        <color indexed="64"/>
      </left>
      <right/>
      <top style="thin">
        <color rgb="FF000000"/>
      </top>
      <bottom style="medium">
        <color auto="1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/>
    </xf>
    <xf numFmtId="0" fontId="6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164" fontId="7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4" fontId="8" fillId="0" borderId="0" xfId="0" applyNumberFormat="1" applyFont="1" applyAlignment="1">
      <alignment horizontal="right" vertical="center"/>
    </xf>
    <xf numFmtId="0" fontId="8" fillId="0" borderId="14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10" fillId="0" borderId="1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164" fontId="6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right" vertical="center"/>
    </xf>
    <xf numFmtId="0" fontId="10" fillId="0" borderId="14" xfId="0" applyFont="1" applyBorder="1" applyAlignment="1">
      <alignment horizontal="right" vertical="center"/>
    </xf>
    <xf numFmtId="165" fontId="6" fillId="0" borderId="14" xfId="0" applyNumberFormat="1" applyFont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165" fontId="10" fillId="0" borderId="14" xfId="0" applyNumberFormat="1" applyFont="1" applyBorder="1" applyAlignment="1">
      <alignment horizontal="right" vertical="center"/>
    </xf>
    <xf numFmtId="165" fontId="10" fillId="0" borderId="0" xfId="0" applyNumberFormat="1" applyFont="1" applyAlignment="1">
      <alignment horizontal="right" vertical="center"/>
    </xf>
    <xf numFmtId="164" fontId="10" fillId="0" borderId="0" xfId="0" applyNumberFormat="1" applyFont="1" applyAlignment="1">
      <alignment horizontal="right" vertical="center"/>
    </xf>
    <xf numFmtId="4" fontId="10" fillId="0" borderId="13" xfId="0" applyNumberFormat="1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165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0" fillId="0" borderId="1" xfId="0" applyBorder="1"/>
    <xf numFmtId="0" fontId="11" fillId="0" borderId="15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2" fillId="0" borderId="15" xfId="0" applyFont="1" applyBorder="1" applyAlignment="1">
      <alignment horizontal="left"/>
    </xf>
    <xf numFmtId="4" fontId="2" fillId="2" borderId="0" xfId="0" applyNumberFormat="1" applyFont="1" applyFill="1"/>
    <xf numFmtId="10" fontId="13" fillId="5" borderId="26" xfId="0" applyNumberFormat="1" applyFont="1" applyFill="1" applyBorder="1" applyAlignment="1">
      <alignment horizontal="center" vertical="center"/>
    </xf>
    <xf numFmtId="10" fontId="13" fillId="5" borderId="27" xfId="0" applyNumberFormat="1" applyFont="1" applyFill="1" applyBorder="1" applyAlignment="1">
      <alignment horizontal="center" vertical="center"/>
    </xf>
    <xf numFmtId="0" fontId="13" fillId="5" borderId="27" xfId="0" applyFont="1" applyFill="1" applyBorder="1" applyAlignment="1">
      <alignment horizontal="center" vertical="center"/>
    </xf>
    <xf numFmtId="0" fontId="15" fillId="5" borderId="26" xfId="0" applyFont="1" applyFill="1" applyBorder="1" applyAlignment="1">
      <alignment horizontal="center" vertical="center"/>
    </xf>
    <xf numFmtId="0" fontId="15" fillId="5" borderId="27" xfId="0" applyFont="1" applyFill="1" applyBorder="1" applyAlignment="1">
      <alignment horizontal="center" vertical="center"/>
    </xf>
    <xf numFmtId="0" fontId="15" fillId="5" borderId="28" xfId="0" applyFont="1" applyFill="1" applyBorder="1" applyAlignment="1">
      <alignment horizontal="center" vertical="center"/>
    </xf>
    <xf numFmtId="0" fontId="14" fillId="3" borderId="18" xfId="0" applyFont="1" applyFill="1" applyBorder="1" applyAlignment="1">
      <alignment horizontal="center"/>
    </xf>
    <xf numFmtId="0" fontId="14" fillId="3" borderId="0" xfId="0" applyFont="1" applyFill="1" applyAlignment="1">
      <alignment horizontal="center"/>
    </xf>
    <xf numFmtId="0" fontId="14" fillId="3" borderId="19" xfId="0" applyFont="1" applyFill="1" applyBorder="1" applyAlignment="1">
      <alignment horizontal="center"/>
    </xf>
    <xf numFmtId="0" fontId="14" fillId="3" borderId="0" xfId="0" applyFont="1" applyFill="1" applyAlignment="1">
      <alignment horizontal="left"/>
    </xf>
    <xf numFmtId="0" fontId="14" fillId="3" borderId="20" xfId="0" applyFont="1" applyFill="1" applyBorder="1" applyAlignment="1">
      <alignment horizontal="center"/>
    </xf>
    <xf numFmtId="0" fontId="14" fillId="3" borderId="21" xfId="0" applyFont="1" applyFill="1" applyBorder="1" applyAlignment="1">
      <alignment horizontal="center"/>
    </xf>
    <xf numFmtId="0" fontId="14" fillId="3" borderId="21" xfId="0" applyFont="1" applyFill="1" applyBorder="1" applyAlignment="1">
      <alignment horizontal="left"/>
    </xf>
    <xf numFmtId="0" fontId="14" fillId="3" borderId="22" xfId="0" applyFont="1" applyFill="1" applyBorder="1" applyAlignment="1">
      <alignment horizontal="center"/>
    </xf>
    <xf numFmtId="10" fontId="13" fillId="6" borderId="26" xfId="0" applyNumberFormat="1" applyFont="1" applyFill="1" applyBorder="1" applyAlignment="1">
      <alignment horizontal="center" vertical="center"/>
    </xf>
    <xf numFmtId="10" fontId="13" fillId="6" borderId="27" xfId="0" applyNumberFormat="1" applyFont="1" applyFill="1" applyBorder="1" applyAlignment="1">
      <alignment horizontal="center" vertical="center"/>
    </xf>
    <xf numFmtId="0" fontId="13" fillId="6" borderId="27" xfId="0" applyFont="1" applyFill="1" applyBorder="1" applyAlignment="1">
      <alignment horizontal="center" vertical="center"/>
    </xf>
    <xf numFmtId="0" fontId="15" fillId="6" borderId="26" xfId="0" applyFont="1" applyFill="1" applyBorder="1" applyAlignment="1">
      <alignment horizontal="center" vertical="center"/>
    </xf>
    <xf numFmtId="0" fontId="15" fillId="6" borderId="27" xfId="0" applyFont="1" applyFill="1" applyBorder="1" applyAlignment="1">
      <alignment horizontal="center" vertical="center"/>
    </xf>
    <xf numFmtId="0" fontId="15" fillId="6" borderId="28" xfId="0" applyFont="1" applyFill="1" applyBorder="1" applyAlignment="1">
      <alignment horizontal="center" vertical="center"/>
    </xf>
    <xf numFmtId="10" fontId="0" fillId="0" borderId="0" xfId="0" applyNumberFormat="1"/>
    <xf numFmtId="0" fontId="2" fillId="0" borderId="33" xfId="0" applyFont="1" applyBorder="1"/>
    <xf numFmtId="44" fontId="2" fillId="0" borderId="34" xfId="0" applyNumberFormat="1" applyFont="1" applyBorder="1"/>
    <xf numFmtId="0" fontId="8" fillId="0" borderId="22" xfId="0" applyFont="1" applyBorder="1" applyAlignment="1">
      <alignment horizontal="left" vertical="center"/>
    </xf>
    <xf numFmtId="0" fontId="0" fillId="0" borderId="17" xfId="0" applyBorder="1"/>
    <xf numFmtId="0" fontId="0" fillId="0" borderId="0" xfId="0" applyAlignment="1">
      <alignment horizontal="center" vertical="center"/>
    </xf>
    <xf numFmtId="43" fontId="2" fillId="0" borderId="0" xfId="2" applyFont="1"/>
    <xf numFmtId="43" fontId="2" fillId="0" borderId="33" xfId="2" applyFont="1" applyBorder="1"/>
    <xf numFmtId="0" fontId="17" fillId="0" borderId="16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6" fillId="0" borderId="32" xfId="0" applyFont="1" applyBorder="1"/>
    <xf numFmtId="0" fontId="10" fillId="0" borderId="33" xfId="0" applyFont="1" applyBorder="1" applyAlignment="1">
      <alignment horizontal="left" vertical="center"/>
    </xf>
    <xf numFmtId="0" fontId="6" fillId="0" borderId="33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9" fontId="2" fillId="0" borderId="0" xfId="3" applyFont="1"/>
    <xf numFmtId="0" fontId="9" fillId="0" borderId="0" xfId="0" applyFont="1" applyAlignment="1">
      <alignment horizontal="center" vertical="center"/>
    </xf>
    <xf numFmtId="0" fontId="8" fillId="0" borderId="17" xfId="0" applyFont="1" applyBorder="1" applyAlignment="1">
      <alignment horizontal="left" vertical="center"/>
    </xf>
    <xf numFmtId="0" fontId="0" fillId="0" borderId="9" xfId="0" applyBorder="1"/>
    <xf numFmtId="10" fontId="2" fillId="0" borderId="0" xfId="3" applyNumberFormat="1" applyFont="1"/>
    <xf numFmtId="2" fontId="2" fillId="0" borderId="0" xfId="3" applyNumberFormat="1" applyFont="1"/>
    <xf numFmtId="44" fontId="2" fillId="0" borderId="0" xfId="0" applyNumberFormat="1" applyFont="1"/>
    <xf numFmtId="164" fontId="8" fillId="0" borderId="0" xfId="0" applyNumberFormat="1" applyFont="1" applyAlignment="1">
      <alignment horizontal="right" vertical="center"/>
    </xf>
    <xf numFmtId="4" fontId="10" fillId="0" borderId="0" xfId="0" applyNumberFormat="1" applyFont="1" applyAlignment="1">
      <alignment horizontal="right" vertical="center"/>
    </xf>
    <xf numFmtId="4" fontId="10" fillId="0" borderId="14" xfId="0" applyNumberFormat="1" applyFont="1" applyBorder="1" applyAlignment="1">
      <alignment horizontal="right" vertical="center"/>
    </xf>
    <xf numFmtId="0" fontId="18" fillId="6" borderId="28" xfId="0" applyFont="1" applyFill="1" applyBorder="1" applyAlignment="1">
      <alignment horizontal="center" vertical="center"/>
    </xf>
    <xf numFmtId="0" fontId="18" fillId="6" borderId="27" xfId="0" applyFont="1" applyFill="1" applyBorder="1" applyAlignment="1">
      <alignment horizontal="center" vertical="center"/>
    </xf>
    <xf numFmtId="0" fontId="18" fillId="6" borderId="26" xfId="0" applyFont="1" applyFill="1" applyBorder="1" applyAlignment="1">
      <alignment horizontal="center" vertical="center"/>
    </xf>
    <xf numFmtId="17" fontId="19" fillId="6" borderId="28" xfId="0" applyNumberFormat="1" applyFont="1" applyFill="1" applyBorder="1" applyAlignment="1">
      <alignment horizontal="center" vertical="center"/>
    </xf>
    <xf numFmtId="0" fontId="19" fillId="6" borderId="27" xfId="0" applyFont="1" applyFill="1" applyBorder="1" applyAlignment="1">
      <alignment horizontal="center" vertical="center"/>
    </xf>
    <xf numFmtId="10" fontId="19" fillId="6" borderId="27" xfId="0" applyNumberFormat="1" applyFont="1" applyFill="1" applyBorder="1" applyAlignment="1">
      <alignment horizontal="center" vertical="center"/>
    </xf>
    <xf numFmtId="10" fontId="19" fillId="6" borderId="26" xfId="0" applyNumberFormat="1" applyFont="1" applyFill="1" applyBorder="1" applyAlignment="1">
      <alignment horizontal="center" vertical="center"/>
    </xf>
    <xf numFmtId="44" fontId="2" fillId="0" borderId="0" xfId="1" applyFont="1"/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4" fontId="2" fillId="0" borderId="5" xfId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44" fontId="2" fillId="0" borderId="7" xfId="1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 wrapText="1"/>
    </xf>
    <xf numFmtId="17" fontId="2" fillId="0" borderId="33" xfId="0" applyNumberFormat="1" applyFont="1" applyBorder="1" applyAlignment="1">
      <alignment horizontal="center" vertical="center" wrapText="1"/>
    </xf>
    <xf numFmtId="44" fontId="2" fillId="0" borderId="33" xfId="1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right" vertical="center"/>
    </xf>
    <xf numFmtId="0" fontId="12" fillId="0" borderId="0" xfId="0" applyFont="1"/>
    <xf numFmtId="0" fontId="19" fillId="5" borderId="27" xfId="0" applyFont="1" applyFill="1" applyBorder="1" applyAlignment="1">
      <alignment horizontal="center" vertical="center"/>
    </xf>
    <xf numFmtId="43" fontId="3" fillId="0" borderId="1" xfId="2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44" fontId="3" fillId="0" borderId="1" xfId="1" applyFont="1" applyBorder="1" applyAlignment="1">
      <alignment horizontal="center" vertical="center"/>
    </xf>
    <xf numFmtId="44" fontId="21" fillId="0" borderId="1" xfId="1" applyFont="1" applyBorder="1" applyAlignment="1">
      <alignment horizontal="center" vertical="center"/>
    </xf>
    <xf numFmtId="44" fontId="2" fillId="0" borderId="40" xfId="1" applyFont="1" applyBorder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10" fontId="2" fillId="0" borderId="1" xfId="3" applyNumberFormat="1" applyFont="1" applyBorder="1" applyAlignment="1">
      <alignment horizontal="center" vertical="center"/>
    </xf>
    <xf numFmtId="165" fontId="2" fillId="0" borderId="0" xfId="0" applyNumberFormat="1" applyFont="1"/>
    <xf numFmtId="0" fontId="2" fillId="0" borderId="42" xfId="0" applyFont="1" applyBorder="1"/>
    <xf numFmtId="165" fontId="2" fillId="0" borderId="42" xfId="0" applyNumberFormat="1" applyFont="1" applyBorder="1"/>
    <xf numFmtId="0" fontId="2" fillId="0" borderId="43" xfId="0" applyFont="1" applyBorder="1"/>
    <xf numFmtId="10" fontId="2" fillId="0" borderId="0" xfId="0" applyNumberFormat="1" applyFont="1"/>
    <xf numFmtId="44" fontId="21" fillId="0" borderId="0" xfId="0" applyNumberFormat="1" applyFont="1"/>
    <xf numFmtId="44" fontId="3" fillId="7" borderId="1" xfId="1" applyFont="1" applyFill="1" applyBorder="1" applyAlignment="1">
      <alignment horizontal="center" vertical="center"/>
    </xf>
    <xf numFmtId="17" fontId="19" fillId="5" borderId="28" xfId="0" applyNumberFormat="1" applyFont="1" applyFill="1" applyBorder="1" applyAlignment="1">
      <alignment horizontal="center" vertical="center"/>
    </xf>
    <xf numFmtId="17" fontId="3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7" fontId="2" fillId="0" borderId="0" xfId="0" applyNumberFormat="1" applyFont="1" applyAlignment="1">
      <alignment horizontal="center" vertical="center" wrapText="1"/>
    </xf>
    <xf numFmtId="44" fontId="2" fillId="0" borderId="0" xfId="1" applyFont="1" applyBorder="1" applyAlignment="1">
      <alignment horizontal="center" vertical="center"/>
    </xf>
    <xf numFmtId="10" fontId="2" fillId="0" borderId="1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6" fillId="0" borderId="32" xfId="0" applyFont="1" applyBorder="1" applyAlignment="1">
      <alignment horizontal="center"/>
    </xf>
    <xf numFmtId="0" fontId="16" fillId="0" borderId="33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1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16" fillId="0" borderId="19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18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7" fillId="0" borderId="34" xfId="0" applyFont="1" applyBorder="1" applyAlignment="1">
      <alignment horizontal="center"/>
    </xf>
    <xf numFmtId="0" fontId="2" fillId="0" borderId="0" xfId="0" applyFont="1"/>
    <xf numFmtId="0" fontId="16" fillId="0" borderId="17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2" fillId="0" borderId="38" xfId="0" applyFont="1" applyBorder="1"/>
    <xf numFmtId="0" fontId="2" fillId="0" borderId="0" xfId="0" applyFont="1" applyAlignment="1">
      <alignment horizontal="right"/>
    </xf>
    <xf numFmtId="0" fontId="2" fillId="0" borderId="30" xfId="0" applyFont="1" applyBorder="1" applyAlignment="1">
      <alignment horizontal="right"/>
    </xf>
    <xf numFmtId="43" fontId="2" fillId="0" borderId="3" xfId="2" applyFont="1" applyBorder="1" applyAlignment="1">
      <alignment horizontal="center" vertical="center" wrapText="1"/>
    </xf>
    <xf numFmtId="43" fontId="2" fillId="0" borderId="1" xfId="2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4" fillId="0" borderId="15" xfId="0" applyFont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0" xfId="0"/>
    <xf numFmtId="9" fontId="0" fillId="2" borderId="6" xfId="3" applyFont="1" applyFill="1" applyBorder="1" applyAlignment="1">
      <alignment horizontal="center"/>
    </xf>
    <xf numFmtId="9" fontId="0" fillId="2" borderId="7" xfId="3" applyFont="1" applyFill="1" applyBorder="1" applyAlignment="1">
      <alignment horizontal="center"/>
    </xf>
    <xf numFmtId="0" fontId="10" fillId="0" borderId="0" xfId="0" applyFont="1" applyAlignment="1">
      <alignment horizontal="right" vertical="center"/>
    </xf>
    <xf numFmtId="0" fontId="10" fillId="0" borderId="13" xfId="0" applyFont="1" applyBorder="1" applyAlignment="1">
      <alignment horizontal="right" vertical="center"/>
    </xf>
    <xf numFmtId="0" fontId="10" fillId="0" borderId="14" xfId="0" applyFont="1" applyBorder="1" applyAlignment="1">
      <alignment horizontal="right" vertical="center"/>
    </xf>
    <xf numFmtId="0" fontId="10" fillId="0" borderId="14" xfId="0" applyFont="1" applyBorder="1" applyAlignment="1">
      <alignment horizontal="left" vertical="center"/>
    </xf>
    <xf numFmtId="0" fontId="10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center" vertical="center"/>
    </xf>
    <xf numFmtId="0" fontId="10" fillId="0" borderId="33" xfId="0" applyFont="1" applyBorder="1" applyAlignment="1">
      <alignment horizontal="right" vertical="center"/>
    </xf>
    <xf numFmtId="0" fontId="13" fillId="3" borderId="17" xfId="0" applyFont="1" applyFill="1" applyBorder="1" applyAlignment="1">
      <alignment horizontal="left" vertical="center" wrapText="1"/>
    </xf>
    <xf numFmtId="0" fontId="13" fillId="3" borderId="14" xfId="0" applyFont="1" applyFill="1" applyBorder="1" applyAlignment="1">
      <alignment horizontal="left" vertical="center" wrapText="1"/>
    </xf>
    <xf numFmtId="0" fontId="13" fillId="3" borderId="16" xfId="0" applyFont="1" applyFill="1" applyBorder="1" applyAlignment="1">
      <alignment horizontal="left" vertical="center" wrapText="1"/>
    </xf>
    <xf numFmtId="0" fontId="14" fillId="4" borderId="25" xfId="0" applyFont="1" applyFill="1" applyBorder="1" applyAlignment="1">
      <alignment horizontal="right"/>
    </xf>
    <xf numFmtId="0" fontId="14" fillId="4" borderId="24" xfId="0" applyFont="1" applyFill="1" applyBorder="1" applyAlignment="1">
      <alignment horizontal="right"/>
    </xf>
    <xf numFmtId="166" fontId="14" fillId="4" borderId="24" xfId="0" applyNumberFormat="1" applyFont="1" applyFill="1" applyBorder="1" applyAlignment="1">
      <alignment horizontal="center"/>
    </xf>
    <xf numFmtId="166" fontId="14" fillId="4" borderId="23" xfId="0" applyNumberFormat="1" applyFont="1" applyFill="1" applyBorder="1" applyAlignment="1">
      <alignment horizontal="center"/>
    </xf>
    <xf numFmtId="0" fontId="14" fillId="3" borderId="4" xfId="0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/>
    </xf>
    <xf numFmtId="0" fontId="14" fillId="3" borderId="5" xfId="0" applyFont="1" applyFill="1" applyBorder="1" applyAlignment="1">
      <alignment horizontal="center"/>
    </xf>
    <xf numFmtId="0" fontId="14" fillId="3" borderId="31" xfId="0" applyFont="1" applyFill="1" applyBorder="1" applyAlignment="1">
      <alignment horizontal="center"/>
    </xf>
    <xf numFmtId="0" fontId="14" fillId="3" borderId="30" xfId="0" applyFont="1" applyFill="1" applyBorder="1" applyAlignment="1">
      <alignment horizontal="center"/>
    </xf>
    <xf numFmtId="0" fontId="14" fillId="3" borderId="29" xfId="0" applyFont="1" applyFill="1" applyBorder="1" applyAlignment="1">
      <alignment horizontal="center"/>
    </xf>
    <xf numFmtId="0" fontId="13" fillId="3" borderId="22" xfId="0" applyFont="1" applyFill="1" applyBorder="1" applyAlignment="1">
      <alignment horizontal="left" vertical="center"/>
    </xf>
    <xf numFmtId="0" fontId="13" fillId="3" borderId="21" xfId="0" applyFont="1" applyFill="1" applyBorder="1" applyAlignment="1">
      <alignment horizontal="left" vertical="center"/>
    </xf>
    <xf numFmtId="0" fontId="13" fillId="3" borderId="20" xfId="0" applyFont="1" applyFill="1" applyBorder="1" applyAlignment="1">
      <alignment horizontal="left" vertical="center"/>
    </xf>
    <xf numFmtId="0" fontId="13" fillId="3" borderId="19" xfId="0" applyFont="1" applyFill="1" applyBorder="1" applyAlignment="1">
      <alignment horizontal="left" vertical="center"/>
    </xf>
    <xf numFmtId="0" fontId="13" fillId="3" borderId="0" xfId="0" applyFont="1" applyFill="1" applyAlignment="1">
      <alignment horizontal="left" vertical="center"/>
    </xf>
    <xf numFmtId="0" fontId="13" fillId="3" borderId="18" xfId="0" applyFont="1" applyFill="1" applyBorder="1" applyAlignment="1">
      <alignment horizontal="left" vertical="center"/>
    </xf>
    <xf numFmtId="0" fontId="20" fillId="4" borderId="25" xfId="0" applyFont="1" applyFill="1" applyBorder="1" applyAlignment="1">
      <alignment horizontal="right"/>
    </xf>
    <xf numFmtId="0" fontId="20" fillId="4" borderId="24" xfId="0" applyFont="1" applyFill="1" applyBorder="1" applyAlignment="1">
      <alignment horizontal="right"/>
    </xf>
    <xf numFmtId="166" fontId="20" fillId="4" borderId="24" xfId="0" applyNumberFormat="1" applyFont="1" applyFill="1" applyBorder="1" applyAlignment="1">
      <alignment horizontal="center"/>
    </xf>
    <xf numFmtId="166" fontId="20" fillId="4" borderId="23" xfId="0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22" fillId="0" borderId="41" xfId="0" applyFont="1" applyBorder="1" applyAlignment="1">
      <alignment horizontal="center" wrapText="1"/>
    </xf>
    <xf numFmtId="0" fontId="22" fillId="0" borderId="42" xfId="0" applyFont="1" applyBorder="1" applyAlignment="1">
      <alignment horizontal="center" wrapText="1"/>
    </xf>
    <xf numFmtId="0" fontId="12" fillId="0" borderId="0" xfId="0" applyFont="1" applyBorder="1" applyAlignment="1">
      <alignment horizontal="left"/>
    </xf>
    <xf numFmtId="0" fontId="12" fillId="0" borderId="0" xfId="0" applyFont="1" applyBorder="1" applyAlignment="1">
      <alignment horizontal="center"/>
    </xf>
    <xf numFmtId="0" fontId="0" fillId="0" borderId="0" xfId="0" applyAlignment="1"/>
    <xf numFmtId="10" fontId="0" fillId="0" borderId="1" xfId="3" applyNumberFormat="1" applyFont="1" applyBorder="1"/>
    <xf numFmtId="0" fontId="0" fillId="0" borderId="1" xfId="0" applyBorder="1" applyAlignment="1"/>
    <xf numFmtId="10" fontId="0" fillId="0" borderId="1" xfId="3" applyNumberFormat="1" applyFont="1" applyBorder="1" applyAlignment="1"/>
    <xf numFmtId="10" fontId="0" fillId="0" borderId="36" xfId="3" applyNumberFormat="1" applyFont="1" applyBorder="1"/>
    <xf numFmtId="0" fontId="0" fillId="0" borderId="37" xfId="0" applyBorder="1"/>
    <xf numFmtId="0" fontId="0" fillId="0" borderId="0" xfId="0" applyBorder="1" applyAlignment="1"/>
    <xf numFmtId="0" fontId="0" fillId="0" borderId="44" xfId="0" applyBorder="1"/>
    <xf numFmtId="10" fontId="12" fillId="0" borderId="1" xfId="0" applyNumberFormat="1" applyFont="1" applyBorder="1"/>
    <xf numFmtId="44" fontId="3" fillId="0" borderId="5" xfId="1" applyFont="1" applyBorder="1" applyAlignment="1">
      <alignment horizontal="center" vertical="center" wrapText="1"/>
    </xf>
  </cellXfs>
  <cellStyles count="4">
    <cellStyle name="Moeda" xfId="1" builtinId="4"/>
    <cellStyle name="Normal" xfId="0" builtinId="0"/>
    <cellStyle name="Porcentagem" xfId="3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419100</xdr:colOff>
      <xdr:row>2</xdr:row>
      <xdr:rowOff>161925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7C3486D-A287-4049-B4BB-37CF66E1970A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419100" cy="542925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0</xdr:colOff>
      <xdr:row>11</xdr:row>
      <xdr:rowOff>0</xdr:rowOff>
    </xdr:from>
    <xdr:to>
      <xdr:col>0</xdr:col>
      <xdr:colOff>419100</xdr:colOff>
      <xdr:row>13</xdr:row>
      <xdr:rowOff>161925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631E8008-17EF-4779-A369-074C9D898D61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2110154"/>
          <a:ext cx="419100" cy="542925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08EF4-9BC6-4A31-A197-30C6AF07E834}">
  <dimension ref="A1:AE23"/>
  <sheetViews>
    <sheetView showGridLines="0" tabSelected="1" topLeftCell="H1" zoomScaleNormal="100" zoomScaleSheetLayoutView="100" workbookViewId="0">
      <selection activeCell="R13" sqref="R13"/>
    </sheetView>
  </sheetViews>
  <sheetFormatPr defaultColWidth="0" defaultRowHeight="14.25" zeroHeight="1" x14ac:dyDescent="0.2"/>
  <cols>
    <col min="1" max="2" width="9.140625" style="1" customWidth="1"/>
    <col min="3" max="3" width="12.28515625" style="1" customWidth="1"/>
    <col min="4" max="4" width="11.7109375" style="1" customWidth="1"/>
    <col min="5" max="5" width="81.85546875" style="1" customWidth="1"/>
    <col min="6" max="6" width="9.140625" style="1" customWidth="1"/>
    <col min="7" max="7" width="18" style="70" bestFit="1" customWidth="1"/>
    <col min="8" max="8" width="13.5703125" style="1" bestFit="1" customWidth="1"/>
    <col min="9" max="9" width="17.7109375" style="1" bestFit="1" customWidth="1"/>
    <col min="10" max="10" width="15.85546875" style="1" customWidth="1"/>
    <col min="11" max="11" width="19.140625" style="1" bestFit="1" customWidth="1"/>
    <col min="12" max="12" width="9.140625" style="1" customWidth="1"/>
    <col min="13" max="13" width="12" style="1" bestFit="1" customWidth="1"/>
    <col min="14" max="14" width="14.85546875" style="1" bestFit="1" customWidth="1"/>
    <col min="15" max="15" width="10.140625" style="1" customWidth="1"/>
    <col min="16" max="16" width="10.85546875" style="1" bestFit="1" customWidth="1"/>
    <col min="17" max="17" width="13.85546875" style="1" bestFit="1" customWidth="1"/>
    <col min="18" max="18" width="16.140625" style="1" bestFit="1" customWidth="1"/>
    <col min="19" max="19" width="16.140625" style="1" customWidth="1"/>
    <col min="20" max="20" width="15" style="1" bestFit="1" customWidth="1"/>
    <col min="21" max="21" width="16.140625" style="1" bestFit="1" customWidth="1"/>
    <col min="22" max="22" width="15" style="1" bestFit="1" customWidth="1"/>
    <col min="23" max="24" width="18" style="1" bestFit="1" customWidth="1"/>
    <col min="25" max="31" width="0" style="1" hidden="1" customWidth="1"/>
    <col min="32" max="16384" width="9.140625" style="1" hidden="1"/>
  </cols>
  <sheetData>
    <row r="1" spans="1:24" ht="15.75" thickBot="1" x14ac:dyDescent="0.3">
      <c r="A1" s="143" t="s">
        <v>145</v>
      </c>
      <c r="B1" s="144"/>
      <c r="C1" s="144"/>
      <c r="D1" s="144"/>
      <c r="E1" s="144"/>
      <c r="F1" s="144"/>
      <c r="G1" s="144"/>
      <c r="H1" s="144"/>
      <c r="I1" s="144"/>
      <c r="J1" s="144"/>
      <c r="K1" s="145"/>
    </row>
    <row r="2" spans="1:24" ht="14.25" customHeight="1" thickBot="1" x14ac:dyDescent="0.3">
      <c r="A2" s="146" t="s">
        <v>213</v>
      </c>
      <c r="B2" s="147"/>
      <c r="C2" s="147"/>
      <c r="D2" s="147"/>
      <c r="E2" s="148"/>
      <c r="F2" s="140" t="s">
        <v>148</v>
      </c>
      <c r="G2" s="140"/>
      <c r="H2" s="72">
        <v>3</v>
      </c>
      <c r="I2" s="73" t="s">
        <v>149</v>
      </c>
      <c r="J2" s="140">
        <v>2025</v>
      </c>
      <c r="K2" s="141"/>
    </row>
    <row r="3" spans="1:24" ht="14.25" customHeight="1" thickBot="1" x14ac:dyDescent="0.3">
      <c r="A3" s="149" t="s">
        <v>146</v>
      </c>
      <c r="B3" s="150"/>
      <c r="C3" s="150"/>
      <c r="D3" s="150"/>
      <c r="E3" s="151"/>
      <c r="F3" s="142"/>
      <c r="G3" s="142"/>
      <c r="H3" s="142"/>
      <c r="I3" s="142"/>
      <c r="J3" s="142"/>
      <c r="K3" s="142"/>
    </row>
    <row r="4" spans="1:24" ht="14.25" customHeight="1" thickBot="1" x14ac:dyDescent="0.3">
      <c r="A4" s="155" t="s">
        <v>147</v>
      </c>
      <c r="B4" s="156"/>
      <c r="C4" s="156"/>
      <c r="D4" s="156"/>
      <c r="E4" s="157"/>
      <c r="F4" s="152" t="s">
        <v>150</v>
      </c>
      <c r="G4" s="152"/>
      <c r="H4" s="152" t="s">
        <v>151</v>
      </c>
      <c r="I4" s="152"/>
      <c r="J4" s="152"/>
      <c r="K4" s="153"/>
    </row>
    <row r="5" spans="1:24" ht="14.25" customHeight="1" thickBot="1" x14ac:dyDescent="0.25">
      <c r="A5" s="154"/>
      <c r="B5" s="154"/>
      <c r="C5" s="154"/>
      <c r="D5" s="154"/>
      <c r="E5" s="158"/>
      <c r="F5" s="154"/>
      <c r="G5" s="154"/>
      <c r="H5" s="154"/>
      <c r="I5" s="154"/>
      <c r="J5" s="154"/>
      <c r="K5" s="154"/>
    </row>
    <row r="6" spans="1:24" ht="28.5" x14ac:dyDescent="0.2">
      <c r="A6" s="134" t="s">
        <v>0</v>
      </c>
      <c r="B6" s="136" t="s">
        <v>1</v>
      </c>
      <c r="C6" s="136" t="s">
        <v>2</v>
      </c>
      <c r="D6" s="138" t="s">
        <v>11</v>
      </c>
      <c r="E6" s="136" t="s">
        <v>3</v>
      </c>
      <c r="F6" s="136" t="s">
        <v>4</v>
      </c>
      <c r="G6" s="161" t="s">
        <v>5</v>
      </c>
      <c r="H6" s="136" t="s">
        <v>7</v>
      </c>
      <c r="I6" s="138" t="s">
        <v>8</v>
      </c>
      <c r="J6" s="6" t="s">
        <v>9</v>
      </c>
      <c r="K6" s="7" t="s">
        <v>10</v>
      </c>
    </row>
    <row r="7" spans="1:24" x14ac:dyDescent="0.2">
      <c r="A7" s="135"/>
      <c r="B7" s="137"/>
      <c r="C7" s="137"/>
      <c r="D7" s="139"/>
      <c r="E7" s="137"/>
      <c r="F7" s="137"/>
      <c r="G7" s="162"/>
      <c r="H7" s="137"/>
      <c r="I7" s="139"/>
      <c r="J7" s="4"/>
      <c r="K7" s="8"/>
      <c r="M7" s="97" t="s">
        <v>176</v>
      </c>
      <c r="N7" s="97" t="s">
        <v>212</v>
      </c>
      <c r="O7" s="97" t="s">
        <v>181</v>
      </c>
      <c r="P7" s="97" t="s">
        <v>177</v>
      </c>
      <c r="Q7" s="97" t="s">
        <v>178</v>
      </c>
      <c r="R7" s="97" t="s">
        <v>179</v>
      </c>
      <c r="S7" s="97" t="s">
        <v>209</v>
      </c>
      <c r="T7" s="97" t="s">
        <v>182</v>
      </c>
      <c r="U7" s="97" t="s">
        <v>180</v>
      </c>
      <c r="V7" s="97" t="s">
        <v>183</v>
      </c>
      <c r="W7" s="97" t="s">
        <v>184</v>
      </c>
    </row>
    <row r="8" spans="1:24" x14ac:dyDescent="0.2">
      <c r="A8" s="3">
        <v>1</v>
      </c>
      <c r="B8" s="2" t="s">
        <v>156</v>
      </c>
      <c r="C8" s="2" t="s">
        <v>135</v>
      </c>
      <c r="D8" s="127">
        <v>45689</v>
      </c>
      <c r="E8" s="2" t="s">
        <v>189</v>
      </c>
      <c r="F8" s="2" t="s">
        <v>13</v>
      </c>
      <c r="G8" s="111">
        <f>ROUND(Dados_gerais!B6*Dados_gerais!E2*(1+Dados_gerais!E5),2)</f>
        <v>265.36</v>
      </c>
      <c r="H8" s="9">
        <f>Composições_próprias_1!J7</f>
        <v>80.179999999999993</v>
      </c>
      <c r="I8" s="9">
        <f>ROUND(G8*H8,2)</f>
        <v>21276.560000000001</v>
      </c>
      <c r="J8" s="5">
        <f>ROUND(H8*(1+Dados_gerais!$P$11),2)</f>
        <v>95.92</v>
      </c>
      <c r="K8" s="225">
        <f>ROUND(G8*J8,2)</f>
        <v>25453.33</v>
      </c>
      <c r="M8" s="125">
        <f>Composições_próprias_1!M7</f>
        <v>8.6280019999999986</v>
      </c>
      <c r="N8" s="125">
        <f>Composições_próprias_1!O7</f>
        <v>71.551997999999983</v>
      </c>
      <c r="O8" s="114"/>
      <c r="P8" s="114"/>
      <c r="Q8" s="114"/>
      <c r="R8" s="114">
        <f t="shared" ref="R8:V10" si="0">ROUND($G8*M8,2)</f>
        <v>2289.5300000000002</v>
      </c>
      <c r="S8" s="114">
        <f t="shared" si="0"/>
        <v>18987.04</v>
      </c>
      <c r="T8" s="114">
        <f t="shared" si="0"/>
        <v>0</v>
      </c>
      <c r="U8" s="114">
        <f t="shared" si="0"/>
        <v>0</v>
      </c>
      <c r="V8" s="114">
        <f t="shared" si="0"/>
        <v>0</v>
      </c>
      <c r="W8" s="114">
        <f>SUM(R8:V8)</f>
        <v>21276.57</v>
      </c>
      <c r="X8" s="124"/>
    </row>
    <row r="9" spans="1:24" x14ac:dyDescent="0.2">
      <c r="A9" s="3">
        <v>2</v>
      </c>
      <c r="B9" s="2" t="s">
        <v>157</v>
      </c>
      <c r="C9" s="2" t="s">
        <v>135</v>
      </c>
      <c r="D9" s="127">
        <v>45689</v>
      </c>
      <c r="E9" s="2" t="s">
        <v>160</v>
      </c>
      <c r="F9" s="2" t="s">
        <v>21</v>
      </c>
      <c r="G9" s="111">
        <f>Dados_gerais!E2*Dados_gerais!B7</f>
        <v>3790.8</v>
      </c>
      <c r="H9" s="5">
        <f>ROUND(Composições_próprias_2!J32,2)</f>
        <v>6.09</v>
      </c>
      <c r="I9" s="9">
        <f>ROUND(G9*H9,2)</f>
        <v>23085.97</v>
      </c>
      <c r="J9" s="5">
        <f>ROUND(H9*(1+Dados_gerais!$P$11),2)</f>
        <v>7.29</v>
      </c>
      <c r="K9" s="225">
        <f>ROUND(G9*J9,2)</f>
        <v>27634.93</v>
      </c>
      <c r="M9" s="125">
        <f>ROUND(Composições_próprias_2!J18,2)</f>
        <v>0.04</v>
      </c>
      <c r="N9" s="125">
        <f>ROUND(Composições_próprias_2!J17,2)+ROUND(Composições_próprias_2!J23,2)</f>
        <v>6.04</v>
      </c>
      <c r="O9" s="114">
        <f>ROUND(Composições_próprias_2!J19,2)</f>
        <v>0</v>
      </c>
      <c r="P9" s="115"/>
      <c r="Q9" s="115"/>
      <c r="R9" s="114">
        <f t="shared" si="0"/>
        <v>151.63</v>
      </c>
      <c r="S9" s="114">
        <f t="shared" si="0"/>
        <v>22896.43</v>
      </c>
      <c r="T9" s="114">
        <f t="shared" si="0"/>
        <v>0</v>
      </c>
      <c r="U9" s="114">
        <f t="shared" si="0"/>
        <v>0</v>
      </c>
      <c r="V9" s="114">
        <f t="shared" si="0"/>
        <v>0</v>
      </c>
      <c r="W9" s="114">
        <f>SUM(R9:V9)</f>
        <v>23048.06</v>
      </c>
      <c r="X9" s="124"/>
    </row>
    <row r="10" spans="1:24" ht="29.25" thickBot="1" x14ac:dyDescent="0.25">
      <c r="A10" s="3">
        <v>3</v>
      </c>
      <c r="B10" s="2" t="s">
        <v>188</v>
      </c>
      <c r="C10" s="2" t="s">
        <v>135</v>
      </c>
      <c r="D10" s="127">
        <v>45689</v>
      </c>
      <c r="E10" s="2" t="s">
        <v>175</v>
      </c>
      <c r="F10" s="2" t="s">
        <v>13</v>
      </c>
      <c r="G10" s="111">
        <f>Dados_gerais!B6*Dados_gerais!E2</f>
        <v>189.54000000000002</v>
      </c>
      <c r="H10" s="9">
        <f>Composições_próprias_2!J71</f>
        <v>1675.8433814916793</v>
      </c>
      <c r="I10" s="9">
        <f>ROUND(G10*H10,2)</f>
        <v>317639.34999999998</v>
      </c>
      <c r="J10" s="5">
        <f>ROUND(H10*(1+Dados_gerais!$P$11),2)</f>
        <v>2004.81</v>
      </c>
      <c r="K10" s="225">
        <f>ROUND(G10*J10,2)</f>
        <v>379991.69</v>
      </c>
      <c r="M10" s="125">
        <f>SUM(Composições_próprias_2!J52:K52)</f>
        <v>242.34173648881236</v>
      </c>
      <c r="N10" s="125">
        <f>SUM(Composições_próprias_2!J51:K51)+SUM(Composições_próprias_2!J58:K58)</f>
        <v>1224.9663493864605</v>
      </c>
      <c r="O10" s="114">
        <f>SUM(Composições_próprias_2!J53:K53)</f>
        <v>9.2901232051428551</v>
      </c>
      <c r="P10" s="114">
        <f>SUM(Composições_próprias_2!J66:K66)</f>
        <v>86.632689599999992</v>
      </c>
      <c r="Q10" s="114">
        <f>SUM(Composições_próprias_2!J70:K70)</f>
        <v>112.61248281126333</v>
      </c>
      <c r="R10" s="114">
        <f t="shared" si="0"/>
        <v>45933.45</v>
      </c>
      <c r="S10" s="114">
        <f t="shared" si="0"/>
        <v>232180.12</v>
      </c>
      <c r="T10" s="114">
        <f t="shared" si="0"/>
        <v>1760.85</v>
      </c>
      <c r="U10" s="114">
        <f t="shared" si="0"/>
        <v>16420.36</v>
      </c>
      <c r="V10" s="114">
        <f t="shared" si="0"/>
        <v>21344.57</v>
      </c>
      <c r="W10" s="114">
        <f>SUM(R10:V10)</f>
        <v>317639.34999999998</v>
      </c>
      <c r="X10" s="124"/>
    </row>
    <row r="11" spans="1:24" ht="15.75" thickBot="1" x14ac:dyDescent="0.3">
      <c r="A11" s="74" t="s">
        <v>137</v>
      </c>
      <c r="B11" s="65"/>
      <c r="C11" s="65"/>
      <c r="D11" s="65"/>
      <c r="E11" s="65"/>
      <c r="F11" s="65"/>
      <c r="G11" s="71"/>
      <c r="H11" s="65"/>
      <c r="I11" s="65"/>
      <c r="J11" s="65"/>
      <c r="K11" s="66">
        <f>SUM(K8:K10)</f>
        <v>433079.95</v>
      </c>
      <c r="M11" s="113"/>
      <c r="N11" s="113"/>
      <c r="O11" s="113"/>
      <c r="P11" s="113"/>
      <c r="Q11" s="113" t="s">
        <v>184</v>
      </c>
      <c r="R11" s="113">
        <f t="shared" ref="R11:V11" si="1">SUM(R8:R10)</f>
        <v>48374.61</v>
      </c>
      <c r="S11" s="113">
        <f t="shared" si="1"/>
        <v>274063.58999999997</v>
      </c>
      <c r="T11" s="113">
        <f t="shared" si="1"/>
        <v>1760.85</v>
      </c>
      <c r="U11" s="113">
        <f t="shared" si="1"/>
        <v>16420.36</v>
      </c>
      <c r="V11" s="113">
        <f t="shared" si="1"/>
        <v>21344.57</v>
      </c>
      <c r="W11" s="113">
        <f>SUM(W8:W10)</f>
        <v>361963.98</v>
      </c>
      <c r="X11" s="124"/>
    </row>
    <row r="12" spans="1:24" ht="15" x14ac:dyDescent="0.2"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117"/>
    </row>
    <row r="13" spans="1:24" ht="15" x14ac:dyDescent="0.2">
      <c r="G13" s="83"/>
      <c r="H13" s="83"/>
      <c r="M13" s="69"/>
      <c r="N13" s="69"/>
      <c r="O13" s="69"/>
      <c r="P13" s="69"/>
      <c r="Q13" s="97" t="s">
        <v>185</v>
      </c>
      <c r="R13" s="118">
        <f>R11/$W$11</f>
        <v>0.13364481736552902</v>
      </c>
      <c r="S13" s="118">
        <f>S11/$W$11</f>
        <v>0.75715707955250133</v>
      </c>
      <c r="T13" s="118">
        <f>T11/$W$11</f>
        <v>4.864710571477306E-3</v>
      </c>
      <c r="U13" s="118">
        <f>U11/$W$11</f>
        <v>4.5364624402682283E-2</v>
      </c>
      <c r="V13" s="118">
        <f>V11/$W$11</f>
        <v>5.8968768107810064E-2</v>
      </c>
      <c r="W13" s="118">
        <f>SUM(R13:V13)</f>
        <v>1</v>
      </c>
    </row>
    <row r="14" spans="1:24" x14ac:dyDescent="0.2">
      <c r="G14" s="95"/>
      <c r="H14" s="78"/>
      <c r="M14" s="84"/>
      <c r="N14" s="84"/>
    </row>
    <row r="15" spans="1:24" x14ac:dyDescent="0.2">
      <c r="G15" s="83"/>
      <c r="H15" s="78"/>
      <c r="I15" s="159" t="s">
        <v>219</v>
      </c>
      <c r="J15" s="159"/>
      <c r="K15" s="159"/>
      <c r="U15" s="84"/>
      <c r="V15" s="123"/>
    </row>
    <row r="16" spans="1:24" x14ac:dyDescent="0.2">
      <c r="G16" s="83"/>
      <c r="H16" s="78"/>
    </row>
    <row r="17" spans="7:23" x14ac:dyDescent="0.2">
      <c r="G17" s="82"/>
      <c r="H17" s="78"/>
    </row>
    <row r="18" spans="7:23" x14ac:dyDescent="0.2">
      <c r="G18" s="82"/>
      <c r="W18" s="123"/>
    </row>
    <row r="19" spans="7:23" x14ac:dyDescent="0.2"/>
    <row r="20" spans="7:23" x14ac:dyDescent="0.2">
      <c r="I20" s="160" t="s">
        <v>152</v>
      </c>
      <c r="J20" s="160"/>
      <c r="K20" s="160"/>
      <c r="Q20" s="84"/>
    </row>
    <row r="21" spans="7:23" x14ac:dyDescent="0.2">
      <c r="I21" s="159" t="s">
        <v>153</v>
      </c>
      <c r="J21" s="159"/>
      <c r="K21" s="159"/>
    </row>
    <row r="22" spans="7:23" x14ac:dyDescent="0.2">
      <c r="I22" s="159" t="s">
        <v>146</v>
      </c>
      <c r="J22" s="159"/>
      <c r="K22" s="159"/>
    </row>
    <row r="23" spans="7:23" x14ac:dyDescent="0.2"/>
  </sheetData>
  <mergeCells count="24">
    <mergeCell ref="I15:K15"/>
    <mergeCell ref="I20:K20"/>
    <mergeCell ref="I21:K21"/>
    <mergeCell ref="I22:K22"/>
    <mergeCell ref="F6:F7"/>
    <mergeCell ref="G6:G7"/>
    <mergeCell ref="H6:H7"/>
    <mergeCell ref="I6:I7"/>
    <mergeCell ref="F4:G4"/>
    <mergeCell ref="H4:K4"/>
    <mergeCell ref="F5:K5"/>
    <mergeCell ref="A4:E4"/>
    <mergeCell ref="A5:E5"/>
    <mergeCell ref="F2:G2"/>
    <mergeCell ref="J2:K2"/>
    <mergeCell ref="F3:K3"/>
    <mergeCell ref="A1:K1"/>
    <mergeCell ref="A2:E2"/>
    <mergeCell ref="A3:E3"/>
    <mergeCell ref="A6:A7"/>
    <mergeCell ref="B6:B7"/>
    <mergeCell ref="C6:C7"/>
    <mergeCell ref="D6:D7"/>
    <mergeCell ref="E6:E7"/>
  </mergeCells>
  <pageMargins left="0.511811024" right="0.511811024" top="0.78740157499999996" bottom="0.78740157499999996" header="0.31496062000000002" footer="0.31496062000000002"/>
  <pageSetup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5D6D0-7D44-419B-BE9A-ECB96D2F1FEF}">
  <dimension ref="A1:Q20"/>
  <sheetViews>
    <sheetView showGridLines="0" workbookViewId="0">
      <selection activeCell="P11" sqref="P11"/>
    </sheetView>
  </sheetViews>
  <sheetFormatPr defaultColWidth="0" defaultRowHeight="15" zeroHeight="1" x14ac:dyDescent="0.25"/>
  <cols>
    <col min="1" max="1" width="37.7109375" bestFit="1" customWidth="1"/>
    <col min="2" max="7" width="9.140625" customWidth="1"/>
    <col min="8" max="8" width="55.7109375" bestFit="1" customWidth="1"/>
    <col min="9" max="9" width="9.140625" customWidth="1"/>
    <col min="10" max="10" width="21.85546875" bestFit="1" customWidth="1"/>
    <col min="11" max="17" width="9.140625" customWidth="1"/>
    <col min="18" max="16384" width="9.140625" hidden="1"/>
  </cols>
  <sheetData>
    <row r="1" spans="1:17" x14ac:dyDescent="0.25">
      <c r="E1" s="167" t="s">
        <v>136</v>
      </c>
      <c r="F1" s="168"/>
      <c r="H1" s="164" t="s">
        <v>102</v>
      </c>
      <c r="I1" s="164"/>
      <c r="J1" s="164"/>
      <c r="M1" s="39" t="s">
        <v>220</v>
      </c>
      <c r="N1" s="220">
        <v>4.4999999999999998E-2</v>
      </c>
      <c r="O1" s="223"/>
      <c r="P1" s="221" t="s">
        <v>126</v>
      </c>
      <c r="Q1" s="217">
        <v>6.4999999999999997E-3</v>
      </c>
    </row>
    <row r="2" spans="1:17" ht="15.75" thickBot="1" x14ac:dyDescent="0.3">
      <c r="E2" s="165">
        <v>1.3</v>
      </c>
      <c r="F2" s="166"/>
      <c r="H2" s="40" t="s">
        <v>103</v>
      </c>
      <c r="I2" s="40" t="s">
        <v>104</v>
      </c>
      <c r="J2" s="40" t="s">
        <v>105</v>
      </c>
      <c r="M2" s="218" t="s">
        <v>221</v>
      </c>
      <c r="N2" s="219">
        <v>5.0000000000000001E-3</v>
      </c>
      <c r="O2" s="222"/>
      <c r="P2" s="218" t="s">
        <v>125</v>
      </c>
      <c r="Q2" s="217">
        <v>0.03</v>
      </c>
    </row>
    <row r="3" spans="1:17" ht="15" customHeight="1" thickBot="1" x14ac:dyDescent="0.3">
      <c r="A3" s="39" t="s">
        <v>119</v>
      </c>
      <c r="B3" s="39">
        <v>2.4</v>
      </c>
      <c r="C3" s="39" t="s">
        <v>120</v>
      </c>
      <c r="H3" s="42" t="s">
        <v>115</v>
      </c>
      <c r="I3" s="41">
        <v>30</v>
      </c>
      <c r="J3" s="41" t="s">
        <v>106</v>
      </c>
      <c r="M3" s="39" t="s">
        <v>222</v>
      </c>
      <c r="N3" s="219">
        <v>7.4999999999999997E-3</v>
      </c>
      <c r="O3" s="216"/>
      <c r="P3" s="39" t="s">
        <v>226</v>
      </c>
      <c r="Q3" s="217">
        <v>1.2999999999999999E-3</v>
      </c>
    </row>
    <row r="4" spans="1:17" x14ac:dyDescent="0.25">
      <c r="E4" s="167" t="s">
        <v>142</v>
      </c>
      <c r="F4" s="168"/>
      <c r="H4" s="42" t="s">
        <v>108</v>
      </c>
      <c r="I4" s="41">
        <v>30</v>
      </c>
      <c r="J4" s="41" t="s">
        <v>106</v>
      </c>
      <c r="M4" s="39" t="s">
        <v>223</v>
      </c>
      <c r="N4" s="217">
        <v>1.0699999999999999E-2</v>
      </c>
      <c r="P4" s="39" t="s">
        <v>227</v>
      </c>
      <c r="Q4" s="217">
        <v>0</v>
      </c>
    </row>
    <row r="5" spans="1:17" ht="15.75" thickBot="1" x14ac:dyDescent="0.3">
      <c r="A5" s="169" t="s">
        <v>162</v>
      </c>
      <c r="B5" s="170"/>
      <c r="C5" s="171"/>
      <c r="E5" s="173">
        <v>0.4</v>
      </c>
      <c r="F5" s="174"/>
      <c r="H5" s="42" t="s">
        <v>109</v>
      </c>
      <c r="I5" s="41">
        <v>30</v>
      </c>
      <c r="J5" s="41" t="s">
        <v>106</v>
      </c>
      <c r="M5" s="39" t="s">
        <v>224</v>
      </c>
      <c r="N5" s="217">
        <v>7.6999999999999999E-2</v>
      </c>
    </row>
    <row r="6" spans="1:17" x14ac:dyDescent="0.25">
      <c r="A6" s="81" t="s">
        <v>163</v>
      </c>
      <c r="B6" s="81">
        <f>B7*0.05</f>
        <v>145.80000000000001</v>
      </c>
      <c r="C6" s="81" t="s">
        <v>13</v>
      </c>
      <c r="H6" s="42" t="s">
        <v>110</v>
      </c>
      <c r="I6" s="41">
        <v>30</v>
      </c>
      <c r="J6" s="41" t="s">
        <v>106</v>
      </c>
      <c r="M6" s="39" t="s">
        <v>225</v>
      </c>
      <c r="N6" s="217">
        <f>SUM(Q1:Q4)</f>
        <v>3.78E-2</v>
      </c>
    </row>
    <row r="7" spans="1:17" x14ac:dyDescent="0.25">
      <c r="A7" s="39" t="s">
        <v>164</v>
      </c>
      <c r="B7" s="39">
        <f>12*243</f>
        <v>2916</v>
      </c>
      <c r="C7" s="39" t="s">
        <v>21</v>
      </c>
      <c r="H7" s="42" t="s">
        <v>111</v>
      </c>
      <c r="I7" s="41">
        <v>30</v>
      </c>
      <c r="J7" s="41" t="s">
        <v>106</v>
      </c>
    </row>
    <row r="8" spans="1:17" x14ac:dyDescent="0.25">
      <c r="H8" s="42" t="s">
        <v>107</v>
      </c>
      <c r="I8" s="41">
        <v>30</v>
      </c>
      <c r="J8" s="41" t="s">
        <v>106</v>
      </c>
    </row>
    <row r="9" spans="1:17" ht="15" customHeight="1" x14ac:dyDescent="0.25">
      <c r="H9" s="42" t="s">
        <v>12</v>
      </c>
      <c r="I9" s="41">
        <v>30</v>
      </c>
      <c r="J9" s="41" t="s">
        <v>106</v>
      </c>
    </row>
    <row r="10" spans="1:17" ht="15" customHeight="1" x14ac:dyDescent="0.25">
      <c r="H10" s="214"/>
      <c r="I10" s="215"/>
      <c r="J10" s="215"/>
    </row>
    <row r="11" spans="1:17" x14ac:dyDescent="0.25">
      <c r="M11" s="163" t="s">
        <v>6</v>
      </c>
      <c r="N11" s="163"/>
      <c r="O11" s="163"/>
      <c r="P11" s="224">
        <f>ROUND((1+N1+N2+N3)*(1+N4)*(1+N5)/(1-N6)-1,4)</f>
        <v>0.1963</v>
      </c>
    </row>
    <row r="17" spans="9:14" hidden="1" x14ac:dyDescent="0.25">
      <c r="I17" s="69"/>
      <c r="J17" s="69"/>
      <c r="K17" s="69"/>
      <c r="L17" s="69"/>
      <c r="M17" s="69"/>
      <c r="N17" s="69"/>
    </row>
    <row r="18" spans="9:14" hidden="1" x14ac:dyDescent="0.25">
      <c r="I18" s="69"/>
      <c r="J18" s="69"/>
      <c r="K18" s="69"/>
      <c r="L18" s="69"/>
      <c r="M18" s="69"/>
      <c r="N18" s="69"/>
    </row>
    <row r="19" spans="9:14" hidden="1" x14ac:dyDescent="0.25">
      <c r="I19" s="69"/>
      <c r="J19" s="69"/>
      <c r="K19" s="69"/>
      <c r="L19" s="69"/>
      <c r="M19" s="69"/>
      <c r="N19" s="69"/>
    </row>
    <row r="20" spans="9:14" hidden="1" x14ac:dyDescent="0.25">
      <c r="I20" s="69"/>
      <c r="J20" s="69"/>
      <c r="K20" s="69"/>
      <c r="L20" s="69"/>
      <c r="M20" s="69"/>
      <c r="N20" s="69"/>
    </row>
  </sheetData>
  <mergeCells count="7">
    <mergeCell ref="E4:F4"/>
    <mergeCell ref="E5:F5"/>
    <mergeCell ref="M11:O11"/>
    <mergeCell ref="H1:J1"/>
    <mergeCell ref="E2:F2"/>
    <mergeCell ref="E1:F1"/>
    <mergeCell ref="A5:C5"/>
  </mergeCells>
  <pageMargins left="0.511811024" right="0.511811024" top="0.78740157499999996" bottom="0.78740157499999996" header="0.31496062000000002" footer="0.31496062000000002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DF36A-449A-4D68-A735-26AC9D2EC9F8}">
  <dimension ref="A1:J33"/>
  <sheetViews>
    <sheetView workbookViewId="0">
      <selection activeCell="B7" sqref="B7"/>
    </sheetView>
  </sheetViews>
  <sheetFormatPr defaultColWidth="0" defaultRowHeight="15" zeroHeight="1" x14ac:dyDescent="0.25"/>
  <cols>
    <col min="1" max="1" width="9.140625" customWidth="1"/>
    <col min="2" max="2" width="55.5703125" customWidth="1"/>
    <col min="3" max="3" width="12.7109375" bestFit="1" customWidth="1"/>
    <col min="4" max="4" width="25.85546875" bestFit="1" customWidth="1"/>
    <col min="5" max="5" width="13.140625" bestFit="1" customWidth="1"/>
    <col min="6" max="6" width="15.7109375" bestFit="1" customWidth="1"/>
    <col min="7" max="7" width="38.85546875" bestFit="1" customWidth="1"/>
    <col min="8" max="8" width="9.140625" customWidth="1"/>
    <col min="9" max="9" width="15.7109375" bestFit="1" customWidth="1"/>
    <col min="10" max="10" width="9.140625" customWidth="1"/>
    <col min="11" max="16384" width="9.140625" hidden="1"/>
  </cols>
  <sheetData>
    <row r="1" spans="1:9" ht="23.25" thickBot="1" x14ac:dyDescent="0.3">
      <c r="A1" s="10" t="s">
        <v>14</v>
      </c>
      <c r="B1" s="11"/>
      <c r="C1" s="11"/>
      <c r="D1" s="11"/>
      <c r="E1" s="11"/>
      <c r="F1" s="11"/>
      <c r="G1" s="11"/>
      <c r="H1" s="11"/>
      <c r="I1" s="12" t="s">
        <v>15</v>
      </c>
    </row>
    <row r="2" spans="1:9" ht="18.75" thickTop="1" x14ac:dyDescent="0.25">
      <c r="A2" s="13" t="s">
        <v>16</v>
      </c>
      <c r="D2" s="13" t="s">
        <v>17</v>
      </c>
    </row>
    <row r="3" spans="1:9" ht="15.75" x14ac:dyDescent="0.25">
      <c r="A3" s="16" t="s">
        <v>19</v>
      </c>
      <c r="D3" s="16" t="s">
        <v>214</v>
      </c>
      <c r="G3" s="17" t="s">
        <v>20</v>
      </c>
      <c r="H3" s="18">
        <v>224.1</v>
      </c>
      <c r="I3" s="16" t="s">
        <v>69</v>
      </c>
    </row>
    <row r="4" spans="1:9" ht="16.5" customHeight="1" thickBot="1" x14ac:dyDescent="0.3">
      <c r="A4" s="19" t="s">
        <v>198</v>
      </c>
      <c r="B4" s="180" t="s">
        <v>199</v>
      </c>
      <c r="C4" s="180"/>
      <c r="D4" s="180"/>
      <c r="E4" s="180"/>
      <c r="F4" s="180"/>
      <c r="G4" s="180"/>
      <c r="H4" s="181" t="s">
        <v>22</v>
      </c>
      <c r="I4" s="181"/>
    </row>
    <row r="5" spans="1:9" ht="15.75" thickBot="1" x14ac:dyDescent="0.3">
      <c r="A5" s="178" t="s">
        <v>23</v>
      </c>
      <c r="B5" s="178"/>
      <c r="C5" s="179" t="s">
        <v>24</v>
      </c>
      <c r="D5" s="179" t="s">
        <v>25</v>
      </c>
      <c r="E5" s="179"/>
      <c r="F5" s="179" t="s">
        <v>26</v>
      </c>
      <c r="G5" s="179"/>
      <c r="I5" s="22" t="s">
        <v>27</v>
      </c>
    </row>
    <row r="6" spans="1:9" ht="15.75" thickBot="1" x14ac:dyDescent="0.3">
      <c r="A6" s="178"/>
      <c r="B6" s="178"/>
      <c r="C6" s="179"/>
      <c r="D6" s="21" t="s">
        <v>28</v>
      </c>
      <c r="E6" s="21" t="s">
        <v>29</v>
      </c>
      <c r="F6" s="21" t="s">
        <v>30</v>
      </c>
      <c r="G6" s="21" t="s">
        <v>31</v>
      </c>
      <c r="H6" s="23"/>
      <c r="I6" s="21" t="s">
        <v>32</v>
      </c>
    </row>
    <row r="7" spans="1:9" x14ac:dyDescent="0.25">
      <c r="A7" s="24" t="s">
        <v>200</v>
      </c>
      <c r="B7" s="25" t="s">
        <v>201</v>
      </c>
      <c r="C7" s="26">
        <v>1</v>
      </c>
      <c r="D7" s="27">
        <v>1</v>
      </c>
      <c r="E7" s="27">
        <v>0</v>
      </c>
      <c r="F7" s="28">
        <v>178.4616</v>
      </c>
      <c r="G7" s="28">
        <v>69.155100000000004</v>
      </c>
      <c r="I7" s="28">
        <f>C7*(D7*F7+E7*G7)</f>
        <v>178.4616</v>
      </c>
    </row>
    <row r="8" spans="1:9" ht="15.75" thickBot="1" x14ac:dyDescent="0.3">
      <c r="A8" s="23"/>
      <c r="B8" s="23"/>
      <c r="C8" s="23"/>
      <c r="D8" s="23"/>
      <c r="E8" s="23"/>
      <c r="F8" s="23"/>
      <c r="G8" s="29" t="s">
        <v>37</v>
      </c>
      <c r="H8" s="23"/>
      <c r="I8" s="30">
        <f>I7</f>
        <v>178.4616</v>
      </c>
    </row>
    <row r="9" spans="1:9" ht="15.75" thickBot="1" x14ac:dyDescent="0.3">
      <c r="A9" s="20" t="s">
        <v>38</v>
      </c>
      <c r="B9" s="23"/>
      <c r="C9" s="21" t="s">
        <v>24</v>
      </c>
      <c r="D9" s="21" t="s">
        <v>39</v>
      </c>
      <c r="E9" s="23"/>
      <c r="F9" s="21" t="s">
        <v>26</v>
      </c>
      <c r="G9" s="177" t="s">
        <v>40</v>
      </c>
      <c r="H9" s="177"/>
      <c r="I9" s="177"/>
    </row>
    <row r="10" spans="1:9" x14ac:dyDescent="0.25">
      <c r="C10" s="175" t="s">
        <v>43</v>
      </c>
      <c r="D10" s="175"/>
      <c r="E10" s="175"/>
      <c r="F10" s="175"/>
      <c r="G10" s="175"/>
      <c r="I10" s="28"/>
    </row>
    <row r="11" spans="1:9" ht="15.75" thickBot="1" x14ac:dyDescent="0.3">
      <c r="A11" s="23"/>
      <c r="B11" s="23"/>
      <c r="C11" s="177" t="s">
        <v>44</v>
      </c>
      <c r="D11" s="177"/>
      <c r="E11" s="177"/>
      <c r="F11" s="177"/>
      <c r="G11" s="177"/>
      <c r="H11" s="23"/>
      <c r="I11" s="32">
        <f>I8</f>
        <v>178.4616</v>
      </c>
    </row>
    <row r="12" spans="1:9" x14ac:dyDescent="0.25">
      <c r="C12" s="175" t="s">
        <v>45</v>
      </c>
      <c r="D12" s="175"/>
      <c r="E12" s="175"/>
      <c r="F12" s="175"/>
      <c r="G12" s="175"/>
      <c r="I12" s="33">
        <f>I11/H3</f>
        <v>0.79634805890227578</v>
      </c>
    </row>
    <row r="13" spans="1:9" x14ac:dyDescent="0.25">
      <c r="G13" s="31" t="s">
        <v>46</v>
      </c>
      <c r="I13" s="34" t="s">
        <v>48</v>
      </c>
    </row>
    <row r="14" spans="1:9" ht="15.75" thickBot="1" x14ac:dyDescent="0.3">
      <c r="G14" s="29" t="s">
        <v>47</v>
      </c>
      <c r="I14" s="32" t="s">
        <v>48</v>
      </c>
    </row>
    <row r="15" spans="1:9" ht="15.75" thickBot="1" x14ac:dyDescent="0.3">
      <c r="A15" s="75" t="s">
        <v>49</v>
      </c>
      <c r="B15" s="76"/>
      <c r="C15" s="77" t="s">
        <v>24</v>
      </c>
      <c r="D15" s="77" t="s">
        <v>39</v>
      </c>
      <c r="E15" s="76"/>
      <c r="F15" s="77" t="s">
        <v>50</v>
      </c>
      <c r="G15" s="182" t="s">
        <v>51</v>
      </c>
      <c r="H15" s="182"/>
      <c r="I15" s="182"/>
    </row>
    <row r="16" spans="1:9" ht="15.75" thickBot="1" x14ac:dyDescent="0.3">
      <c r="A16" s="23"/>
      <c r="B16" s="23"/>
      <c r="C16" s="177" t="s">
        <v>53</v>
      </c>
      <c r="D16" s="177"/>
      <c r="E16" s="177"/>
      <c r="F16" s="177"/>
      <c r="G16" s="177"/>
      <c r="H16" s="23"/>
      <c r="I16" s="30"/>
    </row>
    <row r="17" spans="1:9" ht="15.75" thickBot="1" x14ac:dyDescent="0.3">
      <c r="A17" s="20" t="s">
        <v>54</v>
      </c>
      <c r="B17" s="23"/>
      <c r="C17" s="21" t="s">
        <v>24</v>
      </c>
      <c r="D17" s="21" t="s">
        <v>39</v>
      </c>
      <c r="E17" s="23"/>
      <c r="F17" s="21" t="s">
        <v>51</v>
      </c>
      <c r="G17" s="177" t="s">
        <v>51</v>
      </c>
      <c r="H17" s="177"/>
      <c r="I17" s="177"/>
    </row>
    <row r="18" spans="1:9" ht="15.75" thickBot="1" x14ac:dyDescent="0.3">
      <c r="A18" s="23"/>
      <c r="B18" s="23"/>
      <c r="C18" s="177" t="s">
        <v>55</v>
      </c>
      <c r="D18" s="177"/>
      <c r="E18" s="177"/>
      <c r="F18" s="177"/>
      <c r="G18" s="177"/>
      <c r="H18" s="23"/>
      <c r="I18" s="30"/>
    </row>
    <row r="19" spans="1:9" ht="15.75" thickBot="1" x14ac:dyDescent="0.3">
      <c r="A19" s="23"/>
      <c r="B19" s="23"/>
      <c r="C19" s="23"/>
      <c r="D19" s="23"/>
      <c r="E19" s="23"/>
      <c r="F19" s="23"/>
      <c r="G19" s="29" t="s">
        <v>56</v>
      </c>
      <c r="H19" s="23"/>
      <c r="I19" s="32">
        <v>0.76359999999999995</v>
      </c>
    </row>
    <row r="20" spans="1:9" ht="15.75" thickBot="1" x14ac:dyDescent="0.3">
      <c r="A20" s="20" t="s">
        <v>57</v>
      </c>
      <c r="B20" s="23"/>
      <c r="C20" s="21" t="s">
        <v>1</v>
      </c>
      <c r="D20" s="21" t="s">
        <v>24</v>
      </c>
      <c r="E20" s="21" t="s">
        <v>39</v>
      </c>
      <c r="F20" s="23"/>
      <c r="G20" s="21" t="s">
        <v>51</v>
      </c>
      <c r="H20" s="177" t="s">
        <v>51</v>
      </c>
      <c r="I20" s="177"/>
    </row>
    <row r="21" spans="1:9" ht="15.75" thickBot="1" x14ac:dyDescent="0.3">
      <c r="A21" s="23"/>
      <c r="B21" s="23"/>
      <c r="C21" s="177" t="s">
        <v>58</v>
      </c>
      <c r="D21" s="177"/>
      <c r="E21" s="177"/>
      <c r="F21" s="177"/>
      <c r="G21" s="177"/>
      <c r="H21" s="23"/>
      <c r="I21" s="32"/>
    </row>
    <row r="22" spans="1:9" ht="15.75" thickBot="1" x14ac:dyDescent="0.3">
      <c r="A22" s="178" t="s">
        <v>59</v>
      </c>
      <c r="B22" s="178"/>
      <c r="C22" s="179" t="s">
        <v>24</v>
      </c>
      <c r="D22" s="179" t="s">
        <v>39</v>
      </c>
      <c r="E22" s="179" t="s">
        <v>60</v>
      </c>
      <c r="F22" s="179"/>
      <c r="G22" s="179"/>
      <c r="I22" s="177" t="s">
        <v>51</v>
      </c>
    </row>
    <row r="23" spans="1:9" ht="15.75" thickBot="1" x14ac:dyDescent="0.3">
      <c r="A23" s="178"/>
      <c r="B23" s="178"/>
      <c r="C23" s="179"/>
      <c r="D23" s="179"/>
      <c r="E23" s="21" t="s">
        <v>61</v>
      </c>
      <c r="F23" s="21" t="s">
        <v>62</v>
      </c>
      <c r="G23" s="21" t="s">
        <v>63</v>
      </c>
      <c r="H23" s="23"/>
      <c r="I23" s="177"/>
    </row>
    <row r="24" spans="1:9" x14ac:dyDescent="0.25">
      <c r="C24" s="175" t="s">
        <v>64</v>
      </c>
      <c r="D24" s="175"/>
      <c r="E24" s="175"/>
      <c r="F24" s="175"/>
      <c r="G24" s="175"/>
    </row>
    <row r="25" spans="1:9" ht="15.75" thickBot="1" x14ac:dyDescent="0.3">
      <c r="A25" s="11"/>
      <c r="B25" s="11"/>
      <c r="C25" s="11"/>
      <c r="D25" s="11"/>
      <c r="E25" s="176" t="s">
        <v>65</v>
      </c>
      <c r="F25" s="176"/>
      <c r="G25" s="176"/>
      <c r="H25" s="11"/>
      <c r="I25" s="35">
        <f>I12</f>
        <v>0.79634805890227578</v>
      </c>
    </row>
    <row r="26" spans="1:9" ht="15.75" thickTop="1" x14ac:dyDescent="0.25">
      <c r="A26" s="36" t="s">
        <v>66</v>
      </c>
    </row>
    <row r="27" spans="1:9" x14ac:dyDescent="0.25"/>
    <row r="33" customFormat="1" hidden="1" x14ac:dyDescent="0.25"/>
  </sheetData>
  <mergeCells count="23">
    <mergeCell ref="C16:G16"/>
    <mergeCell ref="B4:G4"/>
    <mergeCell ref="H4:I4"/>
    <mergeCell ref="A5:B6"/>
    <mergeCell ref="C5:C6"/>
    <mergeCell ref="D5:E5"/>
    <mergeCell ref="F5:G5"/>
    <mergeCell ref="G9:I9"/>
    <mergeCell ref="C10:G10"/>
    <mergeCell ref="C11:G11"/>
    <mergeCell ref="C12:G12"/>
    <mergeCell ref="G15:I15"/>
    <mergeCell ref="A22:B23"/>
    <mergeCell ref="C22:C23"/>
    <mergeCell ref="D22:D23"/>
    <mergeCell ref="E22:G22"/>
    <mergeCell ref="I22:I23"/>
    <mergeCell ref="C24:G24"/>
    <mergeCell ref="E25:G25"/>
    <mergeCell ref="G17:I17"/>
    <mergeCell ref="C18:G18"/>
    <mergeCell ref="H20:I20"/>
    <mergeCell ref="C21:G2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ACE70-7007-4067-920D-945422E8D580}">
  <dimension ref="A1:J27"/>
  <sheetViews>
    <sheetView workbookViewId="0">
      <selection activeCell="D3" sqref="D3"/>
    </sheetView>
  </sheetViews>
  <sheetFormatPr defaultColWidth="0" defaultRowHeight="15" zeroHeight="1" x14ac:dyDescent="0.25"/>
  <cols>
    <col min="1" max="1" width="10.28515625" bestFit="1" customWidth="1"/>
    <col min="2" max="2" width="55.5703125" customWidth="1"/>
    <col min="3" max="3" width="12.7109375" bestFit="1" customWidth="1"/>
    <col min="4" max="4" width="25.85546875" bestFit="1" customWidth="1"/>
    <col min="5" max="5" width="13.140625" bestFit="1" customWidth="1"/>
    <col min="6" max="6" width="15.7109375" bestFit="1" customWidth="1"/>
    <col min="7" max="7" width="38.85546875" bestFit="1" customWidth="1"/>
    <col min="8" max="8" width="9.140625" customWidth="1"/>
    <col min="9" max="9" width="15.7109375" bestFit="1" customWidth="1"/>
    <col min="10" max="10" width="9.140625" customWidth="1"/>
    <col min="11" max="16384" width="9.140625" hidden="1"/>
  </cols>
  <sheetData>
    <row r="1" spans="1:9" ht="23.25" thickBot="1" x14ac:dyDescent="0.3">
      <c r="A1" s="10" t="s">
        <v>14</v>
      </c>
      <c r="B1" s="11"/>
      <c r="C1" s="11"/>
      <c r="D1" s="11"/>
      <c r="E1" s="11"/>
      <c r="F1" s="11"/>
      <c r="G1" s="11"/>
      <c r="H1" s="11"/>
      <c r="I1" s="12" t="s">
        <v>15</v>
      </c>
    </row>
    <row r="2" spans="1:9" ht="18.75" thickTop="1" x14ac:dyDescent="0.25">
      <c r="A2" s="13" t="s">
        <v>16</v>
      </c>
      <c r="D2" s="13" t="s">
        <v>17</v>
      </c>
    </row>
    <row r="3" spans="1:9" ht="15.75" x14ac:dyDescent="0.25">
      <c r="A3" s="16" t="s">
        <v>19</v>
      </c>
      <c r="D3" s="16" t="s">
        <v>214</v>
      </c>
      <c r="G3" s="17" t="s">
        <v>20</v>
      </c>
      <c r="H3" s="18">
        <v>373.5</v>
      </c>
      <c r="I3" s="16" t="s">
        <v>69</v>
      </c>
    </row>
    <row r="4" spans="1:9" ht="16.5" thickBot="1" x14ac:dyDescent="0.3">
      <c r="A4" s="19">
        <v>5914389</v>
      </c>
      <c r="B4" s="180" t="s">
        <v>112</v>
      </c>
      <c r="C4" s="180"/>
      <c r="D4" s="180"/>
      <c r="E4" s="180"/>
      <c r="F4" s="180"/>
      <c r="G4" s="180"/>
      <c r="H4" s="181" t="s">
        <v>22</v>
      </c>
      <c r="I4" s="181"/>
    </row>
    <row r="5" spans="1:9" ht="15.75" thickBot="1" x14ac:dyDescent="0.3">
      <c r="A5" s="178" t="s">
        <v>23</v>
      </c>
      <c r="B5" s="178"/>
      <c r="C5" s="179" t="s">
        <v>24</v>
      </c>
      <c r="D5" s="179" t="s">
        <v>25</v>
      </c>
      <c r="E5" s="179"/>
      <c r="F5" s="179" t="s">
        <v>26</v>
      </c>
      <c r="G5" s="179"/>
      <c r="I5" s="22" t="s">
        <v>27</v>
      </c>
    </row>
    <row r="6" spans="1:9" ht="15.75" thickBot="1" x14ac:dyDescent="0.3">
      <c r="A6" s="178"/>
      <c r="B6" s="178"/>
      <c r="C6" s="179"/>
      <c r="D6" s="21" t="s">
        <v>28</v>
      </c>
      <c r="E6" s="21" t="s">
        <v>29</v>
      </c>
      <c r="F6" s="21" t="s">
        <v>30</v>
      </c>
      <c r="G6" s="21" t="s">
        <v>31</v>
      </c>
      <c r="H6" s="23"/>
      <c r="I6" s="21" t="s">
        <v>32</v>
      </c>
    </row>
    <row r="7" spans="1:9" ht="28.5" x14ac:dyDescent="0.25">
      <c r="A7" s="24" t="s">
        <v>113</v>
      </c>
      <c r="B7" s="25" t="s">
        <v>114</v>
      </c>
      <c r="C7" s="26">
        <v>1</v>
      </c>
      <c r="D7" s="27">
        <v>1</v>
      </c>
      <c r="E7" s="27">
        <v>0</v>
      </c>
      <c r="F7" s="28">
        <v>298.5806</v>
      </c>
      <c r="G7" s="28">
        <v>88.726600000000005</v>
      </c>
      <c r="I7" s="28">
        <f>D7*F7+E7*G7</f>
        <v>298.5806</v>
      </c>
    </row>
    <row r="8" spans="1:9" ht="15.75" thickBot="1" x14ac:dyDescent="0.3">
      <c r="A8" s="23"/>
      <c r="B8" s="23"/>
      <c r="C8" s="23"/>
      <c r="D8" s="23"/>
      <c r="E8" s="23"/>
      <c r="F8" s="23"/>
      <c r="G8" s="29" t="s">
        <v>37</v>
      </c>
      <c r="H8" s="23"/>
      <c r="I8" s="30">
        <f>I7</f>
        <v>298.5806</v>
      </c>
    </row>
    <row r="9" spans="1:9" ht="15.75" thickBot="1" x14ac:dyDescent="0.3">
      <c r="A9" s="20" t="s">
        <v>38</v>
      </c>
      <c r="B9" s="23"/>
      <c r="C9" s="21" t="s">
        <v>24</v>
      </c>
      <c r="D9" s="21" t="s">
        <v>39</v>
      </c>
      <c r="E9" s="23"/>
      <c r="F9" s="21" t="s">
        <v>26</v>
      </c>
      <c r="G9" s="177" t="s">
        <v>40</v>
      </c>
      <c r="H9" s="177"/>
      <c r="I9" s="177"/>
    </row>
    <row r="10" spans="1:9" x14ac:dyDescent="0.25">
      <c r="C10" s="175" t="s">
        <v>43</v>
      </c>
      <c r="D10" s="175"/>
      <c r="E10" s="175"/>
      <c r="F10" s="175"/>
      <c r="G10" s="175"/>
      <c r="I10" s="28"/>
    </row>
    <row r="11" spans="1:9" ht="15.75" thickBot="1" x14ac:dyDescent="0.3">
      <c r="A11" s="23"/>
      <c r="B11" s="23"/>
      <c r="C11" s="177" t="s">
        <v>44</v>
      </c>
      <c r="D11" s="177"/>
      <c r="E11" s="177"/>
      <c r="F11" s="177"/>
      <c r="G11" s="177"/>
      <c r="H11" s="23"/>
      <c r="I11" s="32">
        <f>I8</f>
        <v>298.5806</v>
      </c>
    </row>
    <row r="12" spans="1:9" x14ac:dyDescent="0.25">
      <c r="C12" s="175" t="s">
        <v>45</v>
      </c>
      <c r="D12" s="175"/>
      <c r="E12" s="175"/>
      <c r="F12" s="175"/>
      <c r="G12" s="175"/>
      <c r="I12" s="33">
        <f>I11/H3</f>
        <v>0.79941258366800538</v>
      </c>
    </row>
    <row r="13" spans="1:9" x14ac:dyDescent="0.25">
      <c r="G13" s="31" t="s">
        <v>46</v>
      </c>
      <c r="I13" s="34" t="s">
        <v>48</v>
      </c>
    </row>
    <row r="14" spans="1:9" ht="15.75" thickBot="1" x14ac:dyDescent="0.3">
      <c r="A14" s="23"/>
      <c r="B14" s="23"/>
      <c r="C14" s="23"/>
      <c r="D14" s="23"/>
      <c r="E14" s="23"/>
      <c r="F14" s="23"/>
      <c r="G14" s="29" t="s">
        <v>47</v>
      </c>
      <c r="H14" s="23"/>
      <c r="I14" s="32" t="s">
        <v>48</v>
      </c>
    </row>
    <row r="15" spans="1:9" ht="15.75" thickBot="1" x14ac:dyDescent="0.3">
      <c r="A15" s="20" t="s">
        <v>49</v>
      </c>
      <c r="B15" s="23"/>
      <c r="C15" s="21" t="s">
        <v>24</v>
      </c>
      <c r="D15" s="21" t="s">
        <v>39</v>
      </c>
      <c r="E15" s="23"/>
      <c r="F15" s="21" t="s">
        <v>50</v>
      </c>
      <c r="G15" s="177" t="s">
        <v>51</v>
      </c>
      <c r="H15" s="177"/>
      <c r="I15" s="177"/>
    </row>
    <row r="16" spans="1:9" ht="15.75" thickBot="1" x14ac:dyDescent="0.3">
      <c r="A16" s="23"/>
      <c r="B16" s="23"/>
      <c r="C16" s="177" t="s">
        <v>53</v>
      </c>
      <c r="D16" s="177"/>
      <c r="E16" s="177"/>
      <c r="F16" s="177"/>
      <c r="G16" s="177"/>
      <c r="H16" s="23"/>
      <c r="I16" s="30"/>
    </row>
    <row r="17" spans="1:9" ht="15.75" thickBot="1" x14ac:dyDescent="0.3">
      <c r="A17" s="20" t="s">
        <v>54</v>
      </c>
      <c r="B17" s="23"/>
      <c r="C17" s="21" t="s">
        <v>24</v>
      </c>
      <c r="D17" s="21" t="s">
        <v>39</v>
      </c>
      <c r="E17" s="23"/>
      <c r="F17" s="21" t="s">
        <v>51</v>
      </c>
      <c r="G17" s="177" t="s">
        <v>51</v>
      </c>
      <c r="H17" s="177"/>
      <c r="I17" s="177"/>
    </row>
    <row r="18" spans="1:9" ht="15.75" thickBot="1" x14ac:dyDescent="0.3">
      <c r="A18" s="23"/>
      <c r="B18" s="23"/>
      <c r="C18" s="177" t="s">
        <v>55</v>
      </c>
      <c r="D18" s="177"/>
      <c r="E18" s="177"/>
      <c r="F18" s="177"/>
      <c r="G18" s="177"/>
      <c r="H18" s="23"/>
      <c r="I18" s="30"/>
    </row>
    <row r="19" spans="1:9" ht="15.75" thickBot="1" x14ac:dyDescent="0.3">
      <c r="A19" s="23"/>
      <c r="B19" s="23"/>
      <c r="C19" s="23"/>
      <c r="D19" s="23"/>
      <c r="E19" s="23"/>
      <c r="F19" s="23"/>
      <c r="G19" s="29" t="s">
        <v>56</v>
      </c>
      <c r="H19" s="23"/>
      <c r="I19" s="32">
        <f>I12</f>
        <v>0.79941258366800538</v>
      </c>
    </row>
    <row r="20" spans="1:9" ht="15.75" thickBot="1" x14ac:dyDescent="0.3">
      <c r="A20" s="20" t="s">
        <v>57</v>
      </c>
      <c r="B20" s="23"/>
      <c r="C20" s="21" t="s">
        <v>1</v>
      </c>
      <c r="D20" s="21" t="s">
        <v>24</v>
      </c>
      <c r="E20" s="21" t="s">
        <v>39</v>
      </c>
      <c r="F20" s="23"/>
      <c r="G20" s="21" t="s">
        <v>51</v>
      </c>
      <c r="H20" s="177" t="s">
        <v>51</v>
      </c>
      <c r="I20" s="177"/>
    </row>
    <row r="21" spans="1:9" ht="15.75" thickBot="1" x14ac:dyDescent="0.3">
      <c r="A21" s="23"/>
      <c r="B21" s="23"/>
      <c r="C21" s="177" t="s">
        <v>58</v>
      </c>
      <c r="D21" s="177"/>
      <c r="E21" s="177"/>
      <c r="F21" s="177"/>
      <c r="G21" s="177"/>
      <c r="H21" s="23"/>
      <c r="I21" s="32"/>
    </row>
    <row r="22" spans="1:9" ht="15.75" thickBot="1" x14ac:dyDescent="0.3">
      <c r="A22" s="178" t="s">
        <v>59</v>
      </c>
      <c r="B22" s="178"/>
      <c r="C22" s="179" t="s">
        <v>24</v>
      </c>
      <c r="D22" s="179" t="s">
        <v>39</v>
      </c>
      <c r="E22" s="179" t="s">
        <v>60</v>
      </c>
      <c r="F22" s="179"/>
      <c r="G22" s="179"/>
      <c r="I22" s="177" t="s">
        <v>51</v>
      </c>
    </row>
    <row r="23" spans="1:9" ht="15.75" thickBot="1" x14ac:dyDescent="0.3">
      <c r="A23" s="178"/>
      <c r="B23" s="178"/>
      <c r="C23" s="179"/>
      <c r="D23" s="179"/>
      <c r="E23" s="21" t="s">
        <v>61</v>
      </c>
      <c r="F23" s="21" t="s">
        <v>62</v>
      </c>
      <c r="G23" s="21" t="s">
        <v>63</v>
      </c>
      <c r="H23" s="23"/>
      <c r="I23" s="177"/>
    </row>
    <row r="24" spans="1:9" x14ac:dyDescent="0.25">
      <c r="C24" s="175" t="s">
        <v>64</v>
      </c>
      <c r="D24" s="175"/>
      <c r="E24" s="175"/>
      <c r="F24" s="175"/>
      <c r="G24" s="175"/>
    </row>
    <row r="25" spans="1:9" ht="15.75" thickBot="1" x14ac:dyDescent="0.3">
      <c r="A25" s="11"/>
      <c r="B25" s="11"/>
      <c r="C25" s="11"/>
      <c r="D25" s="11"/>
      <c r="E25" s="176" t="s">
        <v>65</v>
      </c>
      <c r="F25" s="176"/>
      <c r="G25" s="176"/>
      <c r="H25" s="11"/>
      <c r="I25" s="35">
        <f>I19</f>
        <v>0.79941258366800538</v>
      </c>
    </row>
    <row r="26" spans="1:9" ht="15.75" thickTop="1" x14ac:dyDescent="0.25">
      <c r="A26" s="36" t="s">
        <v>66</v>
      </c>
    </row>
    <row r="27" spans="1:9" x14ac:dyDescent="0.25"/>
  </sheetData>
  <mergeCells count="23">
    <mergeCell ref="C16:G16"/>
    <mergeCell ref="B4:G4"/>
    <mergeCell ref="H4:I4"/>
    <mergeCell ref="A5:B6"/>
    <mergeCell ref="C5:C6"/>
    <mergeCell ref="D5:E5"/>
    <mergeCell ref="F5:G5"/>
    <mergeCell ref="G9:I9"/>
    <mergeCell ref="C10:G10"/>
    <mergeCell ref="C11:G11"/>
    <mergeCell ref="C12:G12"/>
    <mergeCell ref="G15:I15"/>
    <mergeCell ref="A22:B23"/>
    <mergeCell ref="C22:C23"/>
    <mergeCell ref="D22:D23"/>
    <mergeCell ref="E22:G22"/>
    <mergeCell ref="I22:I23"/>
    <mergeCell ref="C24:G24"/>
    <mergeCell ref="E25:G25"/>
    <mergeCell ref="G17:I17"/>
    <mergeCell ref="C18:G18"/>
    <mergeCell ref="H20:I20"/>
    <mergeCell ref="C21:G21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8E845-08B8-45EB-B3F0-3729B296380E}">
  <dimension ref="A1:J27"/>
  <sheetViews>
    <sheetView workbookViewId="0">
      <selection activeCell="D3" sqref="D3"/>
    </sheetView>
  </sheetViews>
  <sheetFormatPr defaultColWidth="0" defaultRowHeight="15" zeroHeight="1" x14ac:dyDescent="0.25"/>
  <cols>
    <col min="1" max="1" width="9.140625" customWidth="1"/>
    <col min="2" max="2" width="38.28515625" customWidth="1"/>
    <col min="3" max="5" width="9.140625" customWidth="1"/>
    <col min="6" max="6" width="15.7109375" bestFit="1" customWidth="1"/>
    <col min="7" max="7" width="38.85546875" bestFit="1" customWidth="1"/>
    <col min="8" max="8" width="8.28515625" bestFit="1" customWidth="1"/>
    <col min="9" max="9" width="15.7109375" bestFit="1" customWidth="1"/>
    <col min="10" max="10" width="9.140625" customWidth="1"/>
    <col min="11" max="16384" width="9.140625" hidden="1"/>
  </cols>
  <sheetData>
    <row r="1" spans="1:9" ht="23.25" thickBot="1" x14ac:dyDescent="0.3">
      <c r="A1" s="10" t="s">
        <v>14</v>
      </c>
      <c r="B1" s="11"/>
      <c r="C1" s="11"/>
      <c r="D1" s="11"/>
      <c r="E1" s="11"/>
      <c r="F1" s="11"/>
      <c r="G1" s="11"/>
      <c r="H1" s="11"/>
      <c r="I1" s="12" t="s">
        <v>15</v>
      </c>
    </row>
    <row r="2" spans="1:9" ht="18.75" thickTop="1" x14ac:dyDescent="0.25">
      <c r="A2" s="13" t="s">
        <v>16</v>
      </c>
      <c r="D2" s="13" t="s">
        <v>17</v>
      </c>
    </row>
    <row r="3" spans="1:9" ht="15.75" x14ac:dyDescent="0.25">
      <c r="A3" s="16" t="s">
        <v>19</v>
      </c>
      <c r="D3" s="16" t="s">
        <v>214</v>
      </c>
      <c r="G3" s="17" t="s">
        <v>20</v>
      </c>
      <c r="H3" s="18">
        <v>784.35</v>
      </c>
      <c r="I3" s="16" t="s">
        <v>69</v>
      </c>
    </row>
    <row r="4" spans="1:9" ht="16.5" thickBot="1" x14ac:dyDescent="0.3">
      <c r="A4" s="19" t="s">
        <v>101</v>
      </c>
      <c r="B4" s="180" t="s">
        <v>116</v>
      </c>
      <c r="C4" s="180"/>
      <c r="D4" s="180"/>
      <c r="E4" s="180"/>
      <c r="F4" s="180"/>
      <c r="G4" s="180"/>
      <c r="H4" s="181" t="s">
        <v>22</v>
      </c>
      <c r="I4" s="181"/>
    </row>
    <row r="5" spans="1:9" ht="15.75" thickBot="1" x14ac:dyDescent="0.3">
      <c r="A5" s="178" t="s">
        <v>23</v>
      </c>
      <c r="B5" s="178"/>
      <c r="C5" s="179" t="s">
        <v>24</v>
      </c>
      <c r="D5" s="179" t="s">
        <v>25</v>
      </c>
      <c r="E5" s="179"/>
      <c r="F5" s="179" t="s">
        <v>26</v>
      </c>
      <c r="G5" s="179"/>
      <c r="I5" s="22" t="s">
        <v>27</v>
      </c>
    </row>
    <row r="6" spans="1:9" ht="15.75" thickBot="1" x14ac:dyDescent="0.3">
      <c r="A6" s="178"/>
      <c r="B6" s="178"/>
      <c r="C6" s="179"/>
      <c r="D6" s="21" t="s">
        <v>28</v>
      </c>
      <c r="E6" s="21" t="s">
        <v>29</v>
      </c>
      <c r="F6" s="21" t="s">
        <v>30</v>
      </c>
      <c r="G6" s="21" t="s">
        <v>31</v>
      </c>
      <c r="H6" s="23"/>
      <c r="I6" s="21" t="s">
        <v>32</v>
      </c>
    </row>
    <row r="7" spans="1:9" ht="28.5" x14ac:dyDescent="0.25">
      <c r="A7" s="24" t="s">
        <v>117</v>
      </c>
      <c r="B7" s="25" t="s">
        <v>118</v>
      </c>
      <c r="C7" s="26">
        <v>1</v>
      </c>
      <c r="D7" s="27">
        <v>1</v>
      </c>
      <c r="E7" s="27">
        <v>0</v>
      </c>
      <c r="F7" s="28">
        <v>443.5059</v>
      </c>
      <c r="G7" s="28">
        <v>109.01560000000001</v>
      </c>
      <c r="I7" s="28">
        <f>D7*F7+E7*G7</f>
        <v>443.5059</v>
      </c>
    </row>
    <row r="8" spans="1:9" ht="15.75" thickBot="1" x14ac:dyDescent="0.3">
      <c r="A8" s="23"/>
      <c r="B8" s="23"/>
      <c r="C8" s="23"/>
      <c r="D8" s="23"/>
      <c r="E8" s="23"/>
      <c r="F8" s="23"/>
      <c r="G8" s="29" t="s">
        <v>37</v>
      </c>
      <c r="H8" s="23"/>
      <c r="I8" s="30">
        <f>I7</f>
        <v>443.5059</v>
      </c>
    </row>
    <row r="9" spans="1:9" ht="15.75" thickBot="1" x14ac:dyDescent="0.3">
      <c r="A9" s="20" t="s">
        <v>38</v>
      </c>
      <c r="B9" s="23"/>
      <c r="C9" s="21" t="s">
        <v>24</v>
      </c>
      <c r="D9" s="21" t="s">
        <v>39</v>
      </c>
      <c r="E9" s="23"/>
      <c r="F9" s="21" t="s">
        <v>26</v>
      </c>
      <c r="G9" s="177" t="s">
        <v>40</v>
      </c>
      <c r="H9" s="177"/>
      <c r="I9" s="177"/>
    </row>
    <row r="10" spans="1:9" x14ac:dyDescent="0.25">
      <c r="C10" s="175" t="s">
        <v>43</v>
      </c>
      <c r="D10" s="175"/>
      <c r="E10" s="175"/>
      <c r="F10" s="175"/>
      <c r="G10" s="175"/>
      <c r="I10" s="28"/>
    </row>
    <row r="11" spans="1:9" ht="15.75" thickBot="1" x14ac:dyDescent="0.3">
      <c r="A11" s="23"/>
      <c r="B11" s="23"/>
      <c r="C11" s="177" t="s">
        <v>44</v>
      </c>
      <c r="D11" s="177"/>
      <c r="E11" s="177"/>
      <c r="F11" s="177"/>
      <c r="G11" s="177"/>
      <c r="H11" s="23"/>
      <c r="I11" s="32">
        <f>I8</f>
        <v>443.5059</v>
      </c>
    </row>
    <row r="12" spans="1:9" x14ac:dyDescent="0.25">
      <c r="C12" s="175" t="s">
        <v>45</v>
      </c>
      <c r="D12" s="175"/>
      <c r="E12" s="175"/>
      <c r="F12" s="175"/>
      <c r="G12" s="175"/>
      <c r="I12" s="33">
        <f>I11/H3</f>
        <v>0.56544387072097912</v>
      </c>
    </row>
    <row r="13" spans="1:9" x14ac:dyDescent="0.25">
      <c r="G13" s="31" t="s">
        <v>46</v>
      </c>
      <c r="I13" s="34" t="s">
        <v>48</v>
      </c>
    </row>
    <row r="14" spans="1:9" ht="15.75" thickBot="1" x14ac:dyDescent="0.3">
      <c r="A14" s="23"/>
      <c r="B14" s="23"/>
      <c r="C14" s="23"/>
      <c r="D14" s="23"/>
      <c r="E14" s="23"/>
      <c r="F14" s="23"/>
      <c r="G14" s="29" t="s">
        <v>47</v>
      </c>
      <c r="H14" s="23"/>
      <c r="I14" s="32" t="s">
        <v>48</v>
      </c>
    </row>
    <row r="15" spans="1:9" ht="15.75" thickBot="1" x14ac:dyDescent="0.3">
      <c r="A15" s="20" t="s">
        <v>49</v>
      </c>
      <c r="B15" s="23"/>
      <c r="C15" s="21" t="s">
        <v>24</v>
      </c>
      <c r="D15" s="21" t="s">
        <v>39</v>
      </c>
      <c r="E15" s="23"/>
      <c r="F15" s="21" t="s">
        <v>50</v>
      </c>
      <c r="G15" s="177" t="s">
        <v>51</v>
      </c>
      <c r="H15" s="177"/>
      <c r="I15" s="177"/>
    </row>
    <row r="16" spans="1:9" ht="15.75" thickBot="1" x14ac:dyDescent="0.3">
      <c r="A16" s="23"/>
      <c r="B16" s="23"/>
      <c r="C16" s="177" t="s">
        <v>53</v>
      </c>
      <c r="D16" s="177"/>
      <c r="E16" s="177"/>
      <c r="F16" s="177"/>
      <c r="G16" s="177"/>
      <c r="H16" s="23"/>
      <c r="I16" s="30"/>
    </row>
    <row r="17" spans="1:9" ht="15.75" thickBot="1" x14ac:dyDescent="0.3">
      <c r="A17" s="20" t="s">
        <v>54</v>
      </c>
      <c r="B17" s="23"/>
      <c r="C17" s="21" t="s">
        <v>24</v>
      </c>
      <c r="D17" s="21" t="s">
        <v>39</v>
      </c>
      <c r="E17" s="23"/>
      <c r="F17" s="21" t="s">
        <v>51</v>
      </c>
      <c r="G17" s="177" t="s">
        <v>51</v>
      </c>
      <c r="H17" s="177"/>
      <c r="I17" s="177"/>
    </row>
    <row r="18" spans="1:9" ht="15.75" thickBot="1" x14ac:dyDescent="0.3">
      <c r="A18" s="23"/>
      <c r="B18" s="23"/>
      <c r="C18" s="177" t="s">
        <v>55</v>
      </c>
      <c r="D18" s="177"/>
      <c r="E18" s="177"/>
      <c r="F18" s="177"/>
      <c r="G18" s="177"/>
      <c r="H18" s="23"/>
      <c r="I18" s="30"/>
    </row>
    <row r="19" spans="1:9" ht="15.75" thickBot="1" x14ac:dyDescent="0.3">
      <c r="A19" s="23"/>
      <c r="B19" s="23"/>
      <c r="C19" s="23"/>
      <c r="D19" s="23"/>
      <c r="E19" s="23"/>
      <c r="F19" s="23"/>
      <c r="G19" s="29" t="s">
        <v>56</v>
      </c>
      <c r="H19" s="23"/>
      <c r="I19" s="32">
        <f>I12</f>
        <v>0.56544387072097912</v>
      </c>
    </row>
    <row r="20" spans="1:9" ht="15.75" thickBot="1" x14ac:dyDescent="0.3">
      <c r="A20" s="20" t="s">
        <v>57</v>
      </c>
      <c r="B20" s="23"/>
      <c r="C20" s="21" t="s">
        <v>1</v>
      </c>
      <c r="D20" s="21" t="s">
        <v>24</v>
      </c>
      <c r="E20" s="21" t="s">
        <v>39</v>
      </c>
      <c r="F20" s="23"/>
      <c r="G20" s="21" t="s">
        <v>51</v>
      </c>
      <c r="H20" s="177" t="s">
        <v>51</v>
      </c>
      <c r="I20" s="177"/>
    </row>
    <row r="21" spans="1:9" ht="15.75" thickBot="1" x14ac:dyDescent="0.3">
      <c r="A21" s="23"/>
      <c r="B21" s="23"/>
      <c r="C21" s="177" t="s">
        <v>58</v>
      </c>
      <c r="D21" s="177"/>
      <c r="E21" s="177"/>
      <c r="F21" s="177"/>
      <c r="G21" s="177"/>
      <c r="H21" s="23"/>
      <c r="I21" s="32"/>
    </row>
    <row r="22" spans="1:9" ht="15.75" thickBot="1" x14ac:dyDescent="0.3">
      <c r="A22" s="178" t="s">
        <v>59</v>
      </c>
      <c r="B22" s="178"/>
      <c r="C22" s="179" t="s">
        <v>24</v>
      </c>
      <c r="D22" s="179" t="s">
        <v>39</v>
      </c>
      <c r="E22" s="179" t="s">
        <v>60</v>
      </c>
      <c r="F22" s="179"/>
      <c r="G22" s="179"/>
      <c r="I22" s="177" t="s">
        <v>51</v>
      </c>
    </row>
    <row r="23" spans="1:9" ht="15.75" thickBot="1" x14ac:dyDescent="0.3">
      <c r="A23" s="178"/>
      <c r="B23" s="178"/>
      <c r="C23" s="179"/>
      <c r="D23" s="179"/>
      <c r="E23" s="21" t="s">
        <v>61</v>
      </c>
      <c r="F23" s="21" t="s">
        <v>62</v>
      </c>
      <c r="G23" s="21" t="s">
        <v>63</v>
      </c>
      <c r="H23" s="23"/>
      <c r="I23" s="177"/>
    </row>
    <row r="24" spans="1:9" x14ac:dyDescent="0.25">
      <c r="C24" s="175" t="s">
        <v>64</v>
      </c>
      <c r="D24" s="175"/>
      <c r="E24" s="175"/>
      <c r="F24" s="175"/>
      <c r="G24" s="175"/>
    </row>
    <row r="25" spans="1:9" ht="15.75" thickBot="1" x14ac:dyDescent="0.3">
      <c r="A25" s="11"/>
      <c r="B25" s="11"/>
      <c r="C25" s="11"/>
      <c r="D25" s="11"/>
      <c r="E25" s="176" t="s">
        <v>65</v>
      </c>
      <c r="F25" s="176"/>
      <c r="G25" s="176"/>
      <c r="H25" s="11"/>
      <c r="I25" s="35">
        <f>I19</f>
        <v>0.56544387072097912</v>
      </c>
    </row>
    <row r="26" spans="1:9" ht="15.75" thickTop="1" x14ac:dyDescent="0.25">
      <c r="A26" s="36" t="s">
        <v>66</v>
      </c>
    </row>
    <row r="27" spans="1:9" x14ac:dyDescent="0.25"/>
  </sheetData>
  <mergeCells count="23">
    <mergeCell ref="C16:G16"/>
    <mergeCell ref="B4:G4"/>
    <mergeCell ref="H4:I4"/>
    <mergeCell ref="A5:B6"/>
    <mergeCell ref="C5:C6"/>
    <mergeCell ref="D5:E5"/>
    <mergeCell ref="F5:G5"/>
    <mergeCell ref="G9:I9"/>
    <mergeCell ref="C10:G10"/>
    <mergeCell ref="C11:G11"/>
    <mergeCell ref="C12:G12"/>
    <mergeCell ref="G15:I15"/>
    <mergeCell ref="A22:B23"/>
    <mergeCell ref="C22:C23"/>
    <mergeCell ref="D22:D23"/>
    <mergeCell ref="E22:G22"/>
    <mergeCell ref="I22:I23"/>
    <mergeCell ref="C24:G24"/>
    <mergeCell ref="E25:G25"/>
    <mergeCell ref="G17:I17"/>
    <mergeCell ref="C18:G18"/>
    <mergeCell ref="H20:I20"/>
    <mergeCell ref="C21:G21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FA9F5-33A3-441E-946B-5C56A13794F1}">
  <dimension ref="A1:I43"/>
  <sheetViews>
    <sheetView topLeftCell="A22" zoomScale="130" zoomScaleNormal="130" workbookViewId="0">
      <selection activeCell="C36" sqref="C36:G36"/>
    </sheetView>
  </sheetViews>
  <sheetFormatPr defaultColWidth="0" defaultRowHeight="15" zeroHeight="1" x14ac:dyDescent="0.25"/>
  <cols>
    <col min="1" max="1" width="9.140625" customWidth="1"/>
    <col min="2" max="2" width="50.5703125" bestFit="1" customWidth="1"/>
    <col min="3" max="7" width="9.140625" customWidth="1"/>
    <col min="8" max="9" width="0" hidden="1" customWidth="1"/>
    <col min="10" max="16384" width="9.140625" hidden="1"/>
  </cols>
  <sheetData>
    <row r="1" spans="1:9" x14ac:dyDescent="0.25">
      <c r="A1" s="57"/>
      <c r="B1" s="56" t="s">
        <v>155</v>
      </c>
      <c r="C1" s="55"/>
      <c r="D1" s="55"/>
      <c r="E1" s="55"/>
      <c r="F1" s="55"/>
      <c r="G1" s="54"/>
    </row>
    <row r="2" spans="1:9" x14ac:dyDescent="0.25">
      <c r="A2" s="52"/>
      <c r="B2" s="53" t="s">
        <v>134</v>
      </c>
      <c r="C2" s="51"/>
      <c r="D2" s="51"/>
      <c r="E2" s="51"/>
      <c r="F2" s="51"/>
      <c r="G2" s="50"/>
    </row>
    <row r="3" spans="1:9" x14ac:dyDescent="0.25">
      <c r="A3" s="52"/>
      <c r="B3" s="51"/>
      <c r="C3" s="51"/>
      <c r="D3" s="51"/>
      <c r="E3" s="51"/>
      <c r="F3" s="51"/>
      <c r="G3" s="50"/>
    </row>
    <row r="4" spans="1:9" x14ac:dyDescent="0.25">
      <c r="A4" s="190" t="s">
        <v>133</v>
      </c>
      <c r="B4" s="191"/>
      <c r="C4" s="191"/>
      <c r="D4" s="191"/>
      <c r="E4" s="191"/>
      <c r="F4" s="191"/>
      <c r="G4" s="192"/>
    </row>
    <row r="5" spans="1:9" x14ac:dyDescent="0.25">
      <c r="A5" s="193"/>
      <c r="B5" s="194"/>
      <c r="C5" s="194"/>
      <c r="D5" s="194"/>
      <c r="E5" s="194"/>
      <c r="F5" s="194" t="s">
        <v>132</v>
      </c>
      <c r="G5" s="195"/>
    </row>
    <row r="6" spans="1:9" x14ac:dyDescent="0.25">
      <c r="A6" s="63" t="s">
        <v>131</v>
      </c>
      <c r="B6" s="62" t="s">
        <v>130</v>
      </c>
      <c r="C6" s="62" t="s">
        <v>129</v>
      </c>
      <c r="D6" s="62" t="s">
        <v>128</v>
      </c>
      <c r="E6" s="62" t="s">
        <v>127</v>
      </c>
      <c r="F6" s="62" t="s">
        <v>126</v>
      </c>
      <c r="G6" s="61" t="s">
        <v>125</v>
      </c>
    </row>
    <row r="7" spans="1:9" x14ac:dyDescent="0.25">
      <c r="A7" s="91">
        <v>45689</v>
      </c>
      <c r="B7" s="60" t="s">
        <v>202</v>
      </c>
      <c r="C7" s="60" t="s">
        <v>67</v>
      </c>
      <c r="D7" s="92">
        <v>4.7669975338441199</v>
      </c>
      <c r="E7" s="59">
        <v>0.17</v>
      </c>
      <c r="F7" s="59">
        <v>6.4999999999999997E-3</v>
      </c>
      <c r="G7" s="58">
        <v>0.03</v>
      </c>
      <c r="I7" s="64"/>
    </row>
    <row r="8" spans="1:9" ht="15.75" thickBot="1" x14ac:dyDescent="0.3">
      <c r="A8" s="186" t="s">
        <v>124</v>
      </c>
      <c r="B8" s="187"/>
      <c r="C8" s="187"/>
      <c r="D8" s="187"/>
      <c r="E8" s="187"/>
      <c r="F8" s="188">
        <f>ROUND(D7/(1-(E7+F7+G7)),2)</f>
        <v>6.01</v>
      </c>
      <c r="G8" s="189"/>
    </row>
    <row r="9" spans="1:9" x14ac:dyDescent="0.25">
      <c r="A9" s="196" t="s">
        <v>123</v>
      </c>
      <c r="B9" s="197"/>
      <c r="C9" s="197"/>
      <c r="D9" s="197"/>
      <c r="E9" s="197"/>
      <c r="F9" s="197"/>
      <c r="G9" s="198"/>
    </row>
    <row r="10" spans="1:9" x14ac:dyDescent="0.25">
      <c r="A10" s="199" t="s">
        <v>122</v>
      </c>
      <c r="B10" s="200"/>
      <c r="C10" s="200"/>
      <c r="D10" s="200"/>
      <c r="E10" s="200"/>
      <c r="F10" s="200"/>
      <c r="G10" s="201"/>
    </row>
    <row r="11" spans="1:9" ht="15.75" thickBot="1" x14ac:dyDescent="0.3">
      <c r="A11" s="183" t="s">
        <v>121</v>
      </c>
      <c r="B11" s="184"/>
      <c r="C11" s="184"/>
      <c r="D11" s="184"/>
      <c r="E11" s="184"/>
      <c r="F11" s="184"/>
      <c r="G11" s="185"/>
    </row>
    <row r="12" spans="1:9" x14ac:dyDescent="0.25">
      <c r="A12" s="57"/>
      <c r="B12" s="56" t="s">
        <v>155</v>
      </c>
      <c r="C12" s="55"/>
      <c r="D12" s="55"/>
      <c r="E12" s="55"/>
      <c r="F12" s="55"/>
      <c r="G12" s="54"/>
    </row>
    <row r="13" spans="1:9" x14ac:dyDescent="0.25">
      <c r="A13" s="52"/>
      <c r="B13" s="53" t="s">
        <v>134</v>
      </c>
      <c r="C13" s="51"/>
      <c r="D13" s="51"/>
      <c r="E13" s="51"/>
      <c r="F13" s="51"/>
      <c r="G13" s="50"/>
    </row>
    <row r="14" spans="1:9" x14ac:dyDescent="0.25">
      <c r="A14" s="52"/>
      <c r="B14" s="51"/>
      <c r="C14" s="51"/>
      <c r="D14" s="51"/>
      <c r="E14" s="51"/>
      <c r="F14" s="51"/>
      <c r="G14" s="50"/>
    </row>
    <row r="15" spans="1:9" x14ac:dyDescent="0.25">
      <c r="A15" s="190" t="s">
        <v>133</v>
      </c>
      <c r="B15" s="191"/>
      <c r="C15" s="191"/>
      <c r="D15" s="191"/>
      <c r="E15" s="191"/>
      <c r="F15" s="191"/>
      <c r="G15" s="192"/>
    </row>
    <row r="16" spans="1:9" x14ac:dyDescent="0.25">
      <c r="A16" s="193"/>
      <c r="B16" s="194"/>
      <c r="C16" s="194"/>
      <c r="D16" s="194"/>
      <c r="E16" s="194"/>
      <c r="F16" s="194" t="s">
        <v>132</v>
      </c>
      <c r="G16" s="195"/>
    </row>
    <row r="17" spans="1:7" x14ac:dyDescent="0.25">
      <c r="A17" s="49" t="s">
        <v>131</v>
      </c>
      <c r="B17" s="48" t="s">
        <v>130</v>
      </c>
      <c r="C17" s="48" t="s">
        <v>129</v>
      </c>
      <c r="D17" s="48" t="s">
        <v>128</v>
      </c>
      <c r="E17" s="48" t="s">
        <v>127</v>
      </c>
      <c r="F17" s="48" t="s">
        <v>126</v>
      </c>
      <c r="G17" s="47" t="s">
        <v>125</v>
      </c>
    </row>
    <row r="18" spans="1:7" x14ac:dyDescent="0.25">
      <c r="A18" s="126">
        <v>45689</v>
      </c>
      <c r="B18" s="46" t="s">
        <v>203</v>
      </c>
      <c r="C18" s="46" t="s">
        <v>67</v>
      </c>
      <c r="D18" s="110">
        <v>3.9063201732400898</v>
      </c>
      <c r="E18" s="45">
        <v>0.17</v>
      </c>
      <c r="F18" s="45">
        <v>6.4999999999999997E-3</v>
      </c>
      <c r="G18" s="44">
        <v>0.03</v>
      </c>
    </row>
    <row r="19" spans="1:7" ht="15.75" thickBot="1" x14ac:dyDescent="0.3">
      <c r="A19" s="186" t="s">
        <v>124</v>
      </c>
      <c r="B19" s="187"/>
      <c r="C19" s="187"/>
      <c r="D19" s="187"/>
      <c r="E19" s="187"/>
      <c r="F19" s="188">
        <f>ROUND(D18/(1-(E18+F18+G18)),2)</f>
        <v>4.92</v>
      </c>
      <c r="G19" s="189"/>
    </row>
    <row r="20" spans="1:7" x14ac:dyDescent="0.25">
      <c r="A20" s="196" t="s">
        <v>123</v>
      </c>
      <c r="B20" s="197"/>
      <c r="C20" s="197"/>
      <c r="D20" s="197"/>
      <c r="E20" s="197"/>
      <c r="F20" s="197"/>
      <c r="G20" s="198"/>
    </row>
    <row r="21" spans="1:7" x14ac:dyDescent="0.25">
      <c r="A21" s="199" t="s">
        <v>122</v>
      </c>
      <c r="B21" s="200"/>
      <c r="C21" s="200"/>
      <c r="D21" s="200"/>
      <c r="E21" s="200"/>
      <c r="F21" s="200"/>
      <c r="G21" s="201"/>
    </row>
    <row r="22" spans="1:7" ht="15.75" thickBot="1" x14ac:dyDescent="0.3">
      <c r="A22" s="183" t="s">
        <v>121</v>
      </c>
      <c r="B22" s="184"/>
      <c r="C22" s="184"/>
      <c r="D22" s="184"/>
      <c r="E22" s="184"/>
      <c r="F22" s="184"/>
      <c r="G22" s="185"/>
    </row>
    <row r="23" spans="1:7" x14ac:dyDescent="0.25">
      <c r="A23" s="57"/>
      <c r="B23" s="56" t="s">
        <v>155</v>
      </c>
      <c r="C23" s="55"/>
      <c r="D23" s="55"/>
      <c r="E23" s="55"/>
      <c r="F23" s="55"/>
      <c r="G23" s="54"/>
    </row>
    <row r="24" spans="1:7" x14ac:dyDescent="0.25">
      <c r="A24" s="52"/>
      <c r="B24" s="53" t="s">
        <v>134</v>
      </c>
      <c r="C24" s="51"/>
      <c r="D24" s="51"/>
      <c r="E24" s="51"/>
      <c r="F24" s="51"/>
      <c r="G24" s="50"/>
    </row>
    <row r="25" spans="1:7" x14ac:dyDescent="0.25">
      <c r="A25" s="52"/>
      <c r="B25" s="51"/>
      <c r="C25" s="51"/>
      <c r="D25" s="51"/>
      <c r="E25" s="51"/>
      <c r="F25" s="51"/>
      <c r="G25" s="50"/>
    </row>
    <row r="26" spans="1:7" x14ac:dyDescent="0.25">
      <c r="A26" s="190" t="s">
        <v>133</v>
      </c>
      <c r="B26" s="191"/>
      <c r="C26" s="191"/>
      <c r="D26" s="191"/>
      <c r="E26" s="191"/>
      <c r="F26" s="191"/>
      <c r="G26" s="192"/>
    </row>
    <row r="27" spans="1:7" x14ac:dyDescent="0.25">
      <c r="A27" s="193"/>
      <c r="B27" s="194"/>
      <c r="C27" s="194"/>
      <c r="D27" s="194"/>
      <c r="E27" s="194"/>
      <c r="F27" s="194" t="s">
        <v>132</v>
      </c>
      <c r="G27" s="195"/>
    </row>
    <row r="28" spans="1:7" x14ac:dyDescent="0.25">
      <c r="A28" s="88" t="s">
        <v>131</v>
      </c>
      <c r="B28" s="89" t="s">
        <v>130</v>
      </c>
      <c r="C28" s="89" t="s">
        <v>129</v>
      </c>
      <c r="D28" s="89" t="s">
        <v>128</v>
      </c>
      <c r="E28" s="89" t="s">
        <v>127</v>
      </c>
      <c r="F28" s="89" t="s">
        <v>126</v>
      </c>
      <c r="G28" s="90" t="s">
        <v>125</v>
      </c>
    </row>
    <row r="29" spans="1:7" x14ac:dyDescent="0.25">
      <c r="A29" s="91">
        <v>45689</v>
      </c>
      <c r="B29" s="92" t="s">
        <v>173</v>
      </c>
      <c r="C29" s="92" t="s">
        <v>67</v>
      </c>
      <c r="D29" s="92">
        <v>2.8688242218940401</v>
      </c>
      <c r="E29" s="93">
        <v>0.17</v>
      </c>
      <c r="F29" s="93">
        <v>6.4999999999999997E-3</v>
      </c>
      <c r="G29" s="94">
        <v>0.03</v>
      </c>
    </row>
    <row r="30" spans="1:7" ht="15.75" thickBot="1" x14ac:dyDescent="0.3">
      <c r="A30" s="202" t="s">
        <v>124</v>
      </c>
      <c r="B30" s="203"/>
      <c r="C30" s="203"/>
      <c r="D30" s="203"/>
      <c r="E30" s="203"/>
      <c r="F30" s="204">
        <f>ROUND(D29/(1-(E29+F29+G29)),2)</f>
        <v>3.62</v>
      </c>
      <c r="G30" s="205"/>
    </row>
    <row r="31" spans="1:7" x14ac:dyDescent="0.25">
      <c r="A31" s="196" t="s">
        <v>123</v>
      </c>
      <c r="B31" s="197"/>
      <c r="C31" s="197"/>
      <c r="D31" s="197"/>
      <c r="E31" s="197"/>
      <c r="F31" s="197"/>
      <c r="G31" s="198"/>
    </row>
    <row r="32" spans="1:7" x14ac:dyDescent="0.25">
      <c r="A32" s="199" t="s">
        <v>122</v>
      </c>
      <c r="B32" s="200"/>
      <c r="C32" s="200"/>
      <c r="D32" s="200"/>
      <c r="E32" s="200"/>
      <c r="F32" s="200"/>
      <c r="G32" s="201"/>
    </row>
    <row r="33" spans="1:7" ht="15.75" thickBot="1" x14ac:dyDescent="0.3">
      <c r="A33" s="183" t="s">
        <v>121</v>
      </c>
      <c r="B33" s="184"/>
      <c r="C33" s="184"/>
      <c r="D33" s="184"/>
      <c r="E33" s="184"/>
      <c r="F33" s="184"/>
      <c r="G33" s="185"/>
    </row>
    <row r="34" spans="1:7" x14ac:dyDescent="0.25"/>
    <row r="35" spans="1:7" x14ac:dyDescent="0.25">
      <c r="C35" s="159" t="s">
        <v>219</v>
      </c>
      <c r="D35" s="159"/>
      <c r="E35" s="159"/>
      <c r="F35" s="159"/>
      <c r="G35" s="159"/>
    </row>
    <row r="36" spans="1:7" x14ac:dyDescent="0.25">
      <c r="C36" s="172"/>
      <c r="D36" s="172"/>
      <c r="E36" s="172"/>
      <c r="F36" s="172"/>
      <c r="G36" s="172"/>
    </row>
    <row r="37" spans="1:7" x14ac:dyDescent="0.25">
      <c r="C37" s="172"/>
      <c r="D37" s="172"/>
      <c r="E37" s="172"/>
      <c r="F37" s="172"/>
      <c r="G37" s="172"/>
    </row>
    <row r="38" spans="1:7" x14ac:dyDescent="0.25">
      <c r="C38" s="172"/>
      <c r="D38" s="172"/>
      <c r="E38" s="172"/>
      <c r="F38" s="172"/>
      <c r="G38" s="172"/>
    </row>
    <row r="39" spans="1:7" x14ac:dyDescent="0.25">
      <c r="C39" s="172"/>
      <c r="D39" s="172"/>
      <c r="E39" s="172"/>
      <c r="F39" s="172"/>
      <c r="G39" s="172"/>
    </row>
    <row r="40" spans="1:7" x14ac:dyDescent="0.25">
      <c r="C40" s="160" t="s">
        <v>152</v>
      </c>
      <c r="D40" s="160"/>
      <c r="E40" s="160"/>
      <c r="F40" s="160"/>
      <c r="G40" s="160"/>
    </row>
    <row r="41" spans="1:7" x14ac:dyDescent="0.25">
      <c r="C41" s="159" t="s">
        <v>153</v>
      </c>
      <c r="D41" s="159"/>
      <c r="E41" s="159"/>
      <c r="F41" s="159"/>
      <c r="G41" s="159"/>
    </row>
    <row r="42" spans="1:7" x14ac:dyDescent="0.25">
      <c r="C42" s="159" t="s">
        <v>146</v>
      </c>
      <c r="D42" s="159"/>
      <c r="E42" s="159"/>
      <c r="F42" s="159"/>
      <c r="G42" s="159"/>
    </row>
    <row r="43" spans="1:7" x14ac:dyDescent="0.25"/>
  </sheetData>
  <mergeCells count="32">
    <mergeCell ref="C40:G40"/>
    <mergeCell ref="C41:G41"/>
    <mergeCell ref="C42:G42"/>
    <mergeCell ref="A31:G31"/>
    <mergeCell ref="A32:G32"/>
    <mergeCell ref="A33:G33"/>
    <mergeCell ref="C35:G35"/>
    <mergeCell ref="C36:G36"/>
    <mergeCell ref="C37:G37"/>
    <mergeCell ref="C38:G38"/>
    <mergeCell ref="C39:G39"/>
    <mergeCell ref="A26:G26"/>
    <mergeCell ref="A27:E27"/>
    <mergeCell ref="F27:G27"/>
    <mergeCell ref="A30:E30"/>
    <mergeCell ref="F30:G30"/>
    <mergeCell ref="A21:G21"/>
    <mergeCell ref="A22:G22"/>
    <mergeCell ref="A15:G15"/>
    <mergeCell ref="A16:E16"/>
    <mergeCell ref="F16:G16"/>
    <mergeCell ref="A19:E19"/>
    <mergeCell ref="F19:G19"/>
    <mergeCell ref="A20:G20"/>
    <mergeCell ref="A11:G11"/>
    <mergeCell ref="A8:E8"/>
    <mergeCell ref="F8:G8"/>
    <mergeCell ref="A4:G4"/>
    <mergeCell ref="A5:E5"/>
    <mergeCell ref="F5:G5"/>
    <mergeCell ref="A9:G9"/>
    <mergeCell ref="A10:G10"/>
  </mergeCells>
  <pageMargins left="0.511811024" right="0.511811024" top="0.78740157499999996" bottom="0.78740157499999996" header="0.31496062000000002" footer="0.31496062000000002"/>
  <pageSetup scale="90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366B4-824F-431F-A7C8-8ED5F5809256}">
  <dimension ref="A1:AD19"/>
  <sheetViews>
    <sheetView showGridLines="0" workbookViewId="0">
      <selection activeCell="E5" sqref="E5"/>
    </sheetView>
  </sheetViews>
  <sheetFormatPr defaultColWidth="0" defaultRowHeight="15" zeroHeight="1" x14ac:dyDescent="0.25"/>
  <cols>
    <col min="1" max="3" width="9.140625" style="69" customWidth="1"/>
    <col min="4" max="4" width="17" style="69" customWidth="1"/>
    <col min="5" max="5" width="18.42578125" style="69" bestFit="1" customWidth="1"/>
    <col min="6" max="6" width="64.7109375" style="69" customWidth="1"/>
    <col min="7" max="8" width="9.140625" style="69" customWidth="1"/>
    <col min="9" max="9" width="11.28515625" style="69" bestFit="1" customWidth="1"/>
    <col min="10" max="10" width="12" style="69" bestFit="1" customWidth="1"/>
    <col min="11" max="11" width="9.140625" style="69" customWidth="1"/>
    <col min="12" max="12" width="12" style="69" bestFit="1" customWidth="1"/>
    <col min="13" max="13" width="12" style="69" customWidth="1"/>
    <col min="14" max="14" width="13.85546875" style="69" bestFit="1" customWidth="1"/>
    <col min="15" max="15" width="13.85546875" style="69" customWidth="1"/>
    <col min="16" max="16" width="16.140625" style="69" bestFit="1" customWidth="1"/>
    <col min="17" max="17" width="15" style="69" bestFit="1" customWidth="1"/>
    <col min="18" max="30" width="0" style="69" hidden="1" customWidth="1"/>
    <col min="31" max="16384" width="9.140625" style="69" hidden="1"/>
  </cols>
  <sheetData>
    <row r="1" spans="2:16" ht="15.75" thickBot="1" x14ac:dyDescent="0.3"/>
    <row r="2" spans="2:16" x14ac:dyDescent="0.25">
      <c r="B2" s="207" t="s">
        <v>186</v>
      </c>
      <c r="C2" s="208"/>
      <c r="D2" s="208"/>
      <c r="E2" s="208"/>
      <c r="F2" s="208"/>
      <c r="G2" s="208"/>
      <c r="H2" s="208"/>
      <c r="I2" s="208"/>
      <c r="J2" s="112"/>
    </row>
    <row r="3" spans="2:16" x14ac:dyDescent="0.25">
      <c r="B3" s="135" t="s">
        <v>0</v>
      </c>
      <c r="C3" s="137" t="s">
        <v>1</v>
      </c>
      <c r="D3" s="137" t="s">
        <v>2</v>
      </c>
      <c r="E3" s="137" t="s">
        <v>11</v>
      </c>
      <c r="F3" s="137" t="s">
        <v>3</v>
      </c>
      <c r="G3" s="137" t="s">
        <v>4</v>
      </c>
      <c r="H3" s="137" t="s">
        <v>5</v>
      </c>
      <c r="I3" s="137" t="s">
        <v>7</v>
      </c>
      <c r="J3" s="206" t="s">
        <v>8</v>
      </c>
    </row>
    <row r="4" spans="2:16" x14ac:dyDescent="0.25">
      <c r="B4" s="135"/>
      <c r="C4" s="137"/>
      <c r="D4" s="137"/>
      <c r="E4" s="137"/>
      <c r="F4" s="137"/>
      <c r="G4" s="137"/>
      <c r="H4" s="137"/>
      <c r="I4" s="137"/>
      <c r="J4" s="206"/>
      <c r="L4" s="97" t="s">
        <v>207</v>
      </c>
      <c r="M4" s="97" t="s">
        <v>210</v>
      </c>
      <c r="N4" s="97" t="s">
        <v>208</v>
      </c>
      <c r="O4" s="97" t="s">
        <v>211</v>
      </c>
      <c r="P4" s="97" t="s">
        <v>184</v>
      </c>
    </row>
    <row r="5" spans="2:16" ht="57" x14ac:dyDescent="0.25">
      <c r="B5" s="96">
        <v>1</v>
      </c>
      <c r="C5" s="2">
        <v>90106</v>
      </c>
      <c r="D5" s="2" t="s">
        <v>229</v>
      </c>
      <c r="E5" s="127">
        <v>45689</v>
      </c>
      <c r="F5" s="2" t="s">
        <v>141</v>
      </c>
      <c r="G5" s="2" t="s">
        <v>13</v>
      </c>
      <c r="H5" s="97">
        <v>1</v>
      </c>
      <c r="I5" s="9">
        <v>8.7799999999999994</v>
      </c>
      <c r="J5" s="98">
        <f t="shared" ref="J5:J6" si="0">H5*I5</f>
        <v>8.7799999999999994</v>
      </c>
      <c r="L5" s="118">
        <v>0.3679</v>
      </c>
      <c r="M5" s="113">
        <f>J5*L5</f>
        <v>3.230162</v>
      </c>
      <c r="N5" s="133">
        <f>1-L5</f>
        <v>0.6321</v>
      </c>
      <c r="O5" s="113">
        <f>J5*N5</f>
        <v>5.5498379999999994</v>
      </c>
      <c r="P5" s="114">
        <f>SUM(M5,O5)</f>
        <v>8.7799999999999994</v>
      </c>
    </row>
    <row r="6" spans="2:16" ht="43.5" thickBot="1" x14ac:dyDescent="0.3">
      <c r="B6" s="99">
        <v>2</v>
      </c>
      <c r="C6" s="2">
        <v>95876</v>
      </c>
      <c r="D6" s="2" t="s">
        <v>229</v>
      </c>
      <c r="E6" s="127">
        <v>45689</v>
      </c>
      <c r="F6" s="2" t="s">
        <v>174</v>
      </c>
      <c r="G6" s="2" t="s">
        <v>68</v>
      </c>
      <c r="H6" s="100">
        <f>H5*30</f>
        <v>30</v>
      </c>
      <c r="I6" s="5">
        <v>2.38</v>
      </c>
      <c r="J6" s="101">
        <f t="shared" si="0"/>
        <v>71.399999999999991</v>
      </c>
      <c r="L6" s="118">
        <v>7.5600000000000001E-2</v>
      </c>
      <c r="M6" s="113">
        <f>J6*L6</f>
        <v>5.3978399999999995</v>
      </c>
      <c r="N6" s="133">
        <f>1-L6</f>
        <v>0.9244</v>
      </c>
      <c r="O6" s="113">
        <f>J6*N6</f>
        <v>66.002159999999989</v>
      </c>
      <c r="P6" s="114">
        <f>SUM(M6,O6)</f>
        <v>71.399999999999991</v>
      </c>
    </row>
    <row r="7" spans="2:16" ht="15.75" thickBot="1" x14ac:dyDescent="0.3">
      <c r="B7" s="102" t="s">
        <v>184</v>
      </c>
      <c r="C7" s="103"/>
      <c r="D7" s="104"/>
      <c r="E7" s="105"/>
      <c r="F7" s="104"/>
      <c r="G7" s="103"/>
      <c r="H7" s="103"/>
      <c r="I7" s="106"/>
      <c r="J7" s="116">
        <f>SUM(J3:J6)</f>
        <v>80.179999999999993</v>
      </c>
      <c r="L7" s="113"/>
      <c r="M7" s="113">
        <f>SUM(M5:M6)</f>
        <v>8.6280019999999986</v>
      </c>
      <c r="N7" s="113"/>
      <c r="O7" s="113">
        <f>SUM(O5:O6)</f>
        <v>71.551997999999983</v>
      </c>
      <c r="P7" s="113">
        <f>SUM(P5:P6)</f>
        <v>80.179999999999993</v>
      </c>
    </row>
    <row r="8" spans="2:16" x14ac:dyDescent="0.25">
      <c r="B8" s="128"/>
      <c r="C8" s="129"/>
      <c r="D8" s="130"/>
      <c r="E8" s="131"/>
      <c r="F8" s="130"/>
      <c r="G8" s="129"/>
      <c r="H8" s="129"/>
      <c r="I8" s="132"/>
      <c r="J8" s="132"/>
      <c r="L8" s="132"/>
      <c r="M8" s="132"/>
      <c r="N8" s="132"/>
      <c r="O8" s="132"/>
      <c r="P8" s="132"/>
    </row>
    <row r="9" spans="2:16" x14ac:dyDescent="0.25">
      <c r="B9" s="128"/>
      <c r="C9" s="129"/>
      <c r="D9" s="130"/>
      <c r="E9" s="131"/>
      <c r="F9" s="130"/>
      <c r="G9" s="129"/>
      <c r="H9" s="129"/>
      <c r="I9" s="132"/>
      <c r="J9" s="132"/>
      <c r="L9" s="132"/>
      <c r="M9" s="132"/>
      <c r="N9" s="132"/>
      <c r="O9" s="132"/>
      <c r="P9" s="132"/>
    </row>
    <row r="10" spans="2:16" x14ac:dyDescent="0.25">
      <c r="B10" s="128"/>
      <c r="C10" s="129"/>
      <c r="D10" s="130"/>
      <c r="E10" s="131"/>
      <c r="F10" s="130"/>
      <c r="G10" s="129"/>
      <c r="H10" s="129"/>
      <c r="I10" s="132"/>
      <c r="J10" s="132"/>
      <c r="L10" s="132"/>
      <c r="M10" s="132"/>
      <c r="N10" s="132"/>
      <c r="O10" s="132"/>
      <c r="P10" s="132"/>
    </row>
    <row r="11" spans="2:16" x14ac:dyDescent="0.25">
      <c r="B11" s="128"/>
      <c r="C11" s="129"/>
      <c r="D11" s="130"/>
      <c r="E11" s="131"/>
      <c r="F11" s="130"/>
      <c r="G11" s="129"/>
      <c r="H11" s="129"/>
      <c r="I11" s="132"/>
      <c r="J11" s="132"/>
      <c r="L11" s="132"/>
      <c r="M11" s="132"/>
      <c r="N11" s="132"/>
      <c r="O11" s="132"/>
      <c r="P11" s="132"/>
    </row>
    <row r="12" spans="2:16" x14ac:dyDescent="0.2">
      <c r="B12" s="128"/>
      <c r="C12" s="129"/>
      <c r="D12" s="130"/>
      <c r="E12" s="131"/>
      <c r="F12" s="130"/>
      <c r="G12" s="129"/>
      <c r="H12" s="159" t="s">
        <v>219</v>
      </c>
      <c r="I12" s="159"/>
      <c r="J12" s="159"/>
      <c r="L12" s="132"/>
      <c r="M12" s="132"/>
      <c r="N12" s="132"/>
      <c r="O12" s="132"/>
      <c r="P12" s="132"/>
    </row>
    <row r="13" spans="2:16" x14ac:dyDescent="0.2">
      <c r="B13" s="128"/>
      <c r="C13" s="129"/>
      <c r="D13" s="130"/>
      <c r="E13" s="131"/>
      <c r="F13" s="130"/>
      <c r="G13" s="129"/>
      <c r="H13" s="1"/>
      <c r="I13" s="1"/>
      <c r="J13" s="1"/>
      <c r="L13" s="132"/>
      <c r="M13" s="132"/>
      <c r="N13" s="132"/>
      <c r="O13" s="132"/>
      <c r="P13" s="132"/>
    </row>
    <row r="14" spans="2:16" x14ac:dyDescent="0.2">
      <c r="B14" s="128"/>
      <c r="C14" s="129"/>
      <c r="D14" s="130"/>
      <c r="E14" s="131"/>
      <c r="F14" s="130"/>
      <c r="G14" s="129"/>
      <c r="H14" s="1"/>
      <c r="I14" s="1"/>
      <c r="J14" s="1"/>
      <c r="L14" s="132"/>
      <c r="M14" s="132"/>
      <c r="N14" s="132"/>
      <c r="O14" s="132"/>
      <c r="P14" s="132"/>
    </row>
    <row r="15" spans="2:16" x14ac:dyDescent="0.2">
      <c r="B15" s="128"/>
      <c r="C15" s="129"/>
      <c r="D15" s="130"/>
      <c r="E15" s="131"/>
      <c r="F15" s="130"/>
      <c r="G15" s="129"/>
      <c r="H15" s="1"/>
      <c r="I15" s="1"/>
      <c r="J15" s="1"/>
      <c r="L15" s="132"/>
      <c r="M15" s="132"/>
      <c r="N15" s="132"/>
      <c r="O15" s="132"/>
      <c r="P15" s="132"/>
    </row>
    <row r="16" spans="2:16" x14ac:dyDescent="0.2">
      <c r="H16" s="1"/>
      <c r="I16" s="1"/>
      <c r="J16" s="1"/>
      <c r="P16" s="117"/>
    </row>
    <row r="17" spans="8:16" x14ac:dyDescent="0.25">
      <c r="H17" s="160" t="s">
        <v>152</v>
      </c>
      <c r="I17" s="160"/>
      <c r="J17" s="160"/>
      <c r="P17"/>
    </row>
    <row r="18" spans="8:16" hidden="1" x14ac:dyDescent="0.2">
      <c r="H18" s="159" t="s">
        <v>153</v>
      </c>
      <c r="I18" s="159"/>
      <c r="J18" s="159"/>
    </row>
    <row r="19" spans="8:16" hidden="1" x14ac:dyDescent="0.2">
      <c r="H19" s="159" t="s">
        <v>146</v>
      </c>
      <c r="I19" s="159"/>
      <c r="J19" s="159"/>
    </row>
  </sheetData>
  <mergeCells count="14">
    <mergeCell ref="B2:I2"/>
    <mergeCell ref="B3:B4"/>
    <mergeCell ref="C3:C4"/>
    <mergeCell ref="D3:D4"/>
    <mergeCell ref="E3:E4"/>
    <mergeCell ref="F3:F4"/>
    <mergeCell ref="G3:G4"/>
    <mergeCell ref="H3:H4"/>
    <mergeCell ref="I3:I4"/>
    <mergeCell ref="H12:J12"/>
    <mergeCell ref="H17:J17"/>
    <mergeCell ref="H18:J18"/>
    <mergeCell ref="H19:J19"/>
    <mergeCell ref="J3:J4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B6306-E888-46D0-9FA2-E0E552FB9A9C}">
  <dimension ref="A1:M138"/>
  <sheetViews>
    <sheetView zoomScaleNormal="100" zoomScaleSheetLayoutView="85" workbookViewId="0">
      <selection activeCell="C13" sqref="C13"/>
    </sheetView>
  </sheetViews>
  <sheetFormatPr defaultColWidth="0" defaultRowHeight="14.25" zeroHeight="1" x14ac:dyDescent="0.2"/>
  <cols>
    <col min="1" max="2" width="9.140625" style="1" customWidth="1"/>
    <col min="3" max="3" width="36.42578125" style="1" customWidth="1"/>
    <col min="4" max="4" width="15.42578125" style="1" bestFit="1" customWidth="1"/>
    <col min="5" max="5" width="18.42578125" style="1" bestFit="1" customWidth="1"/>
    <col min="6" max="6" width="16.28515625" style="1" bestFit="1" customWidth="1"/>
    <col min="7" max="7" width="19.5703125" style="1" bestFit="1" customWidth="1"/>
    <col min="8" max="8" width="15.7109375" style="1" bestFit="1" customWidth="1"/>
    <col min="9" max="9" width="12" style="1" customWidth="1"/>
    <col min="10" max="10" width="13.85546875" style="1" bestFit="1" customWidth="1"/>
    <col min="11" max="11" width="15.7109375" style="1" bestFit="1" customWidth="1"/>
    <col min="12" max="12" width="9.140625" style="1" hidden="1" customWidth="1"/>
    <col min="13" max="13" width="9.5703125" style="1" hidden="1" customWidth="1"/>
    <col min="14" max="16384" width="9.140625" style="1" hidden="1"/>
  </cols>
  <sheetData>
    <row r="1" spans="2:10" ht="15.75" thickBot="1" x14ac:dyDescent="0.3">
      <c r="B1" s="143" t="s">
        <v>154</v>
      </c>
      <c r="C1" s="144"/>
      <c r="D1" s="144"/>
      <c r="E1" s="144"/>
      <c r="F1" s="144"/>
      <c r="G1" s="144"/>
      <c r="H1" s="144"/>
      <c r="I1" s="144"/>
      <c r="J1" s="145"/>
    </row>
    <row r="2" spans="2:10" ht="23.25" thickBot="1" x14ac:dyDescent="0.25">
      <c r="B2" s="10" t="s">
        <v>14</v>
      </c>
      <c r="C2" s="11"/>
      <c r="D2" s="11"/>
      <c r="E2" s="11"/>
      <c r="F2" s="11"/>
      <c r="G2" s="11"/>
      <c r="H2" s="11"/>
      <c r="I2" s="11"/>
      <c r="J2" s="12" t="s">
        <v>15</v>
      </c>
    </row>
    <row r="3" spans="2:10" ht="18.75" thickTop="1" x14ac:dyDescent="0.25">
      <c r="B3" s="13" t="s">
        <v>16</v>
      </c>
      <c r="C3"/>
      <c r="D3"/>
      <c r="E3" s="13" t="s">
        <v>17</v>
      </c>
      <c r="F3"/>
      <c r="G3"/>
      <c r="H3" s="14" t="s">
        <v>18</v>
      </c>
      <c r="I3" s="15">
        <v>5.8399999999999997E-3</v>
      </c>
      <c r="J3"/>
    </row>
    <row r="4" spans="2:10" ht="16.5" thickBot="1" x14ac:dyDescent="0.3">
      <c r="B4" s="16" t="s">
        <v>19</v>
      </c>
      <c r="C4"/>
      <c r="D4"/>
      <c r="E4" s="16" t="s">
        <v>214</v>
      </c>
      <c r="F4"/>
      <c r="G4"/>
      <c r="H4" s="17" t="s">
        <v>20</v>
      </c>
      <c r="I4" s="18">
        <v>1125</v>
      </c>
      <c r="J4" s="16" t="s">
        <v>21</v>
      </c>
    </row>
    <row r="5" spans="2:10" ht="16.5" thickBot="1" x14ac:dyDescent="0.25">
      <c r="B5" s="67" t="s">
        <v>157</v>
      </c>
      <c r="C5" s="209" t="s">
        <v>160</v>
      </c>
      <c r="D5" s="209"/>
      <c r="E5" s="209"/>
      <c r="F5" s="209"/>
      <c r="G5" s="209"/>
      <c r="H5" s="210"/>
      <c r="I5" s="181" t="s">
        <v>22</v>
      </c>
      <c r="J5" s="181"/>
    </row>
    <row r="6" spans="2:10" ht="16.5" thickBot="1" x14ac:dyDescent="0.25">
      <c r="B6" s="80"/>
      <c r="C6" s="180" t="s">
        <v>161</v>
      </c>
      <c r="D6" s="180"/>
      <c r="E6" s="180"/>
      <c r="F6" s="180"/>
      <c r="G6" s="180"/>
      <c r="H6" s="211"/>
      <c r="I6" s="79"/>
      <c r="J6" s="79"/>
    </row>
    <row r="7" spans="2:10" ht="15.75" thickBot="1" x14ac:dyDescent="0.3">
      <c r="B7" s="178" t="s">
        <v>23</v>
      </c>
      <c r="C7" s="178"/>
      <c r="D7" s="179" t="s">
        <v>24</v>
      </c>
      <c r="E7" s="179" t="s">
        <v>25</v>
      </c>
      <c r="F7" s="179"/>
      <c r="G7" s="179" t="s">
        <v>26</v>
      </c>
      <c r="H7" s="179"/>
      <c r="I7"/>
      <c r="J7" s="22" t="s">
        <v>27</v>
      </c>
    </row>
    <row r="8" spans="2:10" ht="15.75" thickBot="1" x14ac:dyDescent="0.25">
      <c r="B8" s="178"/>
      <c r="C8" s="178"/>
      <c r="D8" s="179"/>
      <c r="E8" s="21" t="s">
        <v>28</v>
      </c>
      <c r="F8" s="21" t="s">
        <v>29</v>
      </c>
      <c r="G8" s="21" t="s">
        <v>30</v>
      </c>
      <c r="H8" s="21" t="s">
        <v>31</v>
      </c>
      <c r="I8" s="23"/>
      <c r="J8" s="21" t="s">
        <v>32</v>
      </c>
    </row>
    <row r="9" spans="2:10" ht="42.75" x14ac:dyDescent="0.25">
      <c r="B9" s="24" t="s">
        <v>33</v>
      </c>
      <c r="C9" s="25" t="s">
        <v>34</v>
      </c>
      <c r="D9" s="26">
        <v>1</v>
      </c>
      <c r="E9" s="27">
        <v>1</v>
      </c>
      <c r="F9" s="27">
        <v>0</v>
      </c>
      <c r="G9" s="28">
        <v>251.1499</v>
      </c>
      <c r="H9" s="28">
        <v>71.066100000000006</v>
      </c>
      <c r="I9"/>
      <c r="J9" s="28">
        <f>D9*(E9*G9+F9*H9)</f>
        <v>251.1499</v>
      </c>
    </row>
    <row r="10" spans="2:10" ht="28.5" x14ac:dyDescent="0.25">
      <c r="B10" s="24" t="s">
        <v>35</v>
      </c>
      <c r="C10" s="25" t="s">
        <v>36</v>
      </c>
      <c r="D10" s="26">
        <v>2</v>
      </c>
      <c r="E10" s="27">
        <v>1</v>
      </c>
      <c r="F10" s="27">
        <v>0</v>
      </c>
      <c r="G10" s="28">
        <v>56.919400000000003</v>
      </c>
      <c r="H10" s="28">
        <v>38.880099999999999</v>
      </c>
      <c r="I10"/>
      <c r="J10" s="28">
        <f>D10*(E10*G10+F10*H10)</f>
        <v>113.83880000000001</v>
      </c>
    </row>
    <row r="11" spans="2:10" ht="15.75" thickBot="1" x14ac:dyDescent="0.25">
      <c r="B11" s="23"/>
      <c r="C11" s="23"/>
      <c r="D11" s="23"/>
      <c r="E11" s="23"/>
      <c r="F11" s="23"/>
      <c r="G11" s="23"/>
      <c r="H11" s="29" t="s">
        <v>37</v>
      </c>
      <c r="I11" s="23"/>
      <c r="J11" s="30">
        <f>SUM(J9:J10)</f>
        <v>364.98869999999999</v>
      </c>
    </row>
    <row r="12" spans="2:10" ht="15.75" thickBot="1" x14ac:dyDescent="0.25">
      <c r="B12" s="20" t="s">
        <v>38</v>
      </c>
      <c r="C12" s="23"/>
      <c r="D12" s="21" t="s">
        <v>24</v>
      </c>
      <c r="E12" s="21" t="s">
        <v>39</v>
      </c>
      <c r="F12" s="23"/>
      <c r="G12" s="21" t="s">
        <v>26</v>
      </c>
      <c r="H12" s="177" t="s">
        <v>40</v>
      </c>
      <c r="I12" s="177"/>
      <c r="J12" s="177"/>
    </row>
    <row r="13" spans="2:10" ht="15" x14ac:dyDescent="0.25">
      <c r="B13" s="24" t="s">
        <v>41</v>
      </c>
      <c r="C13" s="25" t="s">
        <v>228</v>
      </c>
      <c r="D13" s="26">
        <v>2</v>
      </c>
      <c r="E13" s="24" t="s">
        <v>42</v>
      </c>
      <c r="F13"/>
      <c r="G13" s="28">
        <v>22.416899999999998</v>
      </c>
      <c r="H13"/>
      <c r="I13"/>
      <c r="J13" s="28">
        <f>D13*G13</f>
        <v>44.833799999999997</v>
      </c>
    </row>
    <row r="14" spans="2:10" ht="15" x14ac:dyDescent="0.25">
      <c r="B14"/>
      <c r="C14"/>
      <c r="D14" s="175" t="s">
        <v>43</v>
      </c>
      <c r="E14" s="175"/>
      <c r="F14" s="175"/>
      <c r="G14" s="175"/>
      <c r="H14" s="175"/>
      <c r="I14"/>
      <c r="J14" s="28">
        <f>J13</f>
        <v>44.833799999999997</v>
      </c>
    </row>
    <row r="15" spans="2:10" ht="15.75" thickBot="1" x14ac:dyDescent="0.25">
      <c r="B15" s="23"/>
      <c r="C15" s="23"/>
      <c r="D15" s="177" t="s">
        <v>44</v>
      </c>
      <c r="E15" s="177"/>
      <c r="F15" s="177"/>
      <c r="G15" s="177"/>
      <c r="H15" s="177"/>
      <c r="I15" s="23"/>
      <c r="J15" s="32">
        <f>SUM(J11,J14)</f>
        <v>409.82249999999999</v>
      </c>
    </row>
    <row r="16" spans="2:10" ht="15" x14ac:dyDescent="0.25">
      <c r="B16"/>
      <c r="C16"/>
      <c r="D16" s="175" t="s">
        <v>45</v>
      </c>
      <c r="E16" s="175"/>
      <c r="F16" s="175"/>
      <c r="G16" s="175"/>
      <c r="H16" s="175"/>
      <c r="I16"/>
      <c r="J16" s="33">
        <f>J15/I4</f>
        <v>0.36428666666666665</v>
      </c>
    </row>
    <row r="17" spans="2:11" ht="15" x14ac:dyDescent="0.25">
      <c r="B17"/>
      <c r="C17"/>
      <c r="D17" s="175" t="s">
        <v>204</v>
      </c>
      <c r="E17" s="175"/>
      <c r="F17" s="175"/>
      <c r="G17" s="175"/>
      <c r="H17" s="175"/>
      <c r="I17"/>
      <c r="J17" s="33">
        <f>J16*J11/(J11+J14)</f>
        <v>0.32443440000000001</v>
      </c>
    </row>
    <row r="18" spans="2:11" ht="15" x14ac:dyDescent="0.25">
      <c r="B18"/>
      <c r="C18"/>
      <c r="D18" s="175" t="s">
        <v>205</v>
      </c>
      <c r="E18" s="175"/>
      <c r="F18" s="175"/>
      <c r="G18" s="175"/>
      <c r="H18" s="175"/>
      <c r="I18"/>
      <c r="J18" s="33">
        <f>J16*J14/(J11+J14)</f>
        <v>3.9852266666666664E-2</v>
      </c>
      <c r="K18" s="119"/>
    </row>
    <row r="19" spans="2:11" ht="15" x14ac:dyDescent="0.25">
      <c r="B19"/>
      <c r="C19"/>
      <c r="D19"/>
      <c r="E19"/>
      <c r="F19"/>
      <c r="G19"/>
      <c r="H19" s="31" t="s">
        <v>46</v>
      </c>
      <c r="I19"/>
      <c r="J19" s="34">
        <f>J16*I3</f>
        <v>2.1274341333333332E-3</v>
      </c>
    </row>
    <row r="20" spans="2:11" ht="15.75" thickBot="1" x14ac:dyDescent="0.3">
      <c r="B20"/>
      <c r="C20"/>
      <c r="D20"/>
      <c r="E20"/>
      <c r="F20"/>
      <c r="G20"/>
      <c r="H20" s="29" t="s">
        <v>47</v>
      </c>
      <c r="I20"/>
      <c r="J20" s="32" t="s">
        <v>48</v>
      </c>
    </row>
    <row r="21" spans="2:11" ht="15.75" thickBot="1" x14ac:dyDescent="0.25">
      <c r="B21" s="75" t="s">
        <v>49</v>
      </c>
      <c r="C21" s="76"/>
      <c r="D21" s="77" t="s">
        <v>24</v>
      </c>
      <c r="E21" s="77" t="s">
        <v>39</v>
      </c>
      <c r="F21" s="76"/>
      <c r="G21" s="77" t="s">
        <v>50</v>
      </c>
      <c r="H21" s="182" t="s">
        <v>51</v>
      </c>
      <c r="I21" s="182"/>
      <c r="J21" s="182"/>
    </row>
    <row r="22" spans="2:11" ht="15" x14ac:dyDescent="0.25">
      <c r="B22" s="24" t="s">
        <v>158</v>
      </c>
      <c r="C22" s="25" t="s">
        <v>159</v>
      </c>
      <c r="D22" s="26">
        <v>1.1999999999999999E-3</v>
      </c>
      <c r="E22" s="24" t="s">
        <v>52</v>
      </c>
      <c r="F22"/>
      <c r="G22" s="37">
        <f>1000*Insumos_betum!D7</f>
        <v>4766.99753384412</v>
      </c>
      <c r="H22"/>
      <c r="I22"/>
      <c r="J22" s="28">
        <f>D22*G22</f>
        <v>5.7203970406129434</v>
      </c>
    </row>
    <row r="23" spans="2:11" ht="15.75" thickBot="1" x14ac:dyDescent="0.25">
      <c r="B23" s="23"/>
      <c r="C23" s="23"/>
      <c r="D23" s="177" t="s">
        <v>53</v>
      </c>
      <c r="E23" s="177"/>
      <c r="F23" s="177"/>
      <c r="G23" s="177"/>
      <c r="H23" s="177"/>
      <c r="I23" s="23"/>
      <c r="J23" s="32">
        <f>J22</f>
        <v>5.7203970406129434</v>
      </c>
    </row>
    <row r="24" spans="2:11" ht="15.75" thickBot="1" x14ac:dyDescent="0.25">
      <c r="B24" s="20" t="s">
        <v>54</v>
      </c>
      <c r="C24" s="23"/>
      <c r="D24" s="21" t="s">
        <v>24</v>
      </c>
      <c r="E24" s="21" t="s">
        <v>39</v>
      </c>
      <c r="F24" s="23"/>
      <c r="G24" s="21" t="s">
        <v>51</v>
      </c>
      <c r="H24" s="177" t="s">
        <v>51</v>
      </c>
      <c r="I24" s="177"/>
      <c r="J24" s="177"/>
    </row>
    <row r="25" spans="2:11" ht="15.75" thickBot="1" x14ac:dyDescent="0.25">
      <c r="B25" s="23"/>
      <c r="C25" s="23"/>
      <c r="D25" s="177" t="s">
        <v>55</v>
      </c>
      <c r="E25" s="177"/>
      <c r="F25" s="177"/>
      <c r="G25" s="177"/>
      <c r="H25" s="177"/>
      <c r="I25" s="23"/>
      <c r="J25" s="30"/>
    </row>
    <row r="26" spans="2:11" ht="15.75" thickBot="1" x14ac:dyDescent="0.25">
      <c r="B26" s="23"/>
      <c r="C26" s="23"/>
      <c r="D26" s="23"/>
      <c r="E26" s="23"/>
      <c r="F26" s="23"/>
      <c r="G26" s="23"/>
      <c r="H26" s="29" t="s">
        <v>56</v>
      </c>
      <c r="I26" s="23"/>
      <c r="J26" s="32">
        <f>SUM(J16,J19,J23)</f>
        <v>6.0868111414129435</v>
      </c>
    </row>
    <row r="27" spans="2:11" ht="15.75" thickBot="1" x14ac:dyDescent="0.25">
      <c r="B27" s="20" t="s">
        <v>57</v>
      </c>
      <c r="C27" s="23"/>
      <c r="D27" s="21" t="s">
        <v>1</v>
      </c>
      <c r="E27" s="21" t="s">
        <v>24</v>
      </c>
      <c r="F27" s="21" t="s">
        <v>39</v>
      </c>
      <c r="G27" s="23"/>
      <c r="H27" s="21" t="s">
        <v>51</v>
      </c>
      <c r="I27" s="177" t="s">
        <v>51</v>
      </c>
      <c r="J27" s="177"/>
    </row>
    <row r="28" spans="2:11" ht="15.75" thickBot="1" x14ac:dyDescent="0.25">
      <c r="B28" s="23"/>
      <c r="C28" s="23"/>
      <c r="D28" s="177" t="s">
        <v>58</v>
      </c>
      <c r="E28" s="177"/>
      <c r="F28" s="177"/>
      <c r="G28" s="177"/>
      <c r="H28" s="177"/>
      <c r="I28" s="23"/>
      <c r="J28" s="32"/>
    </row>
    <row r="29" spans="2:11" ht="15.75" thickBot="1" x14ac:dyDescent="0.3">
      <c r="B29" s="178" t="s">
        <v>59</v>
      </c>
      <c r="C29" s="178"/>
      <c r="D29" s="179" t="s">
        <v>24</v>
      </c>
      <c r="E29" s="179" t="s">
        <v>39</v>
      </c>
      <c r="F29" s="179" t="s">
        <v>60</v>
      </c>
      <c r="G29" s="179"/>
      <c r="H29" s="179"/>
      <c r="I29"/>
      <c r="J29" s="177" t="s">
        <v>51</v>
      </c>
    </row>
    <row r="30" spans="2:11" ht="15.75" thickBot="1" x14ac:dyDescent="0.25">
      <c r="B30" s="178"/>
      <c r="C30" s="178"/>
      <c r="D30" s="179"/>
      <c r="E30" s="179"/>
      <c r="F30" s="21" t="s">
        <v>61</v>
      </c>
      <c r="G30" s="21" t="s">
        <v>62</v>
      </c>
      <c r="H30" s="21" t="s">
        <v>63</v>
      </c>
      <c r="I30" s="23"/>
      <c r="J30" s="177"/>
    </row>
    <row r="31" spans="2:11" ht="15" x14ac:dyDescent="0.25">
      <c r="B31"/>
      <c r="C31"/>
      <c r="D31" s="175" t="s">
        <v>64</v>
      </c>
      <c r="E31" s="175"/>
      <c r="F31" s="175"/>
      <c r="G31" s="175"/>
      <c r="H31" s="175"/>
      <c r="I31"/>
      <c r="J31"/>
    </row>
    <row r="32" spans="2:11" ht="15.75" thickBot="1" x14ac:dyDescent="0.25">
      <c r="B32" s="11"/>
      <c r="C32" s="11"/>
      <c r="D32" s="11"/>
      <c r="E32" s="11"/>
      <c r="F32" s="176" t="s">
        <v>65</v>
      </c>
      <c r="G32" s="176"/>
      <c r="H32" s="176"/>
      <c r="I32" s="11"/>
      <c r="J32" s="35">
        <f>J26</f>
        <v>6.0868111414129435</v>
      </c>
    </row>
    <row r="33" spans="2:11" ht="15.75" thickTop="1" x14ac:dyDescent="0.25">
      <c r="B33" s="36" t="s">
        <v>66</v>
      </c>
      <c r="C33"/>
      <c r="D33"/>
      <c r="E33"/>
      <c r="F33"/>
      <c r="G33"/>
      <c r="H33"/>
      <c r="I33"/>
      <c r="J33"/>
    </row>
    <row r="34" spans="2:11" x14ac:dyDescent="0.2"/>
    <row r="35" spans="2:11" ht="23.25" thickBot="1" x14ac:dyDescent="0.25">
      <c r="B35" s="10" t="s">
        <v>14</v>
      </c>
      <c r="C35" s="11"/>
      <c r="D35" s="11"/>
      <c r="E35" s="11"/>
      <c r="F35" s="11"/>
      <c r="G35" s="11"/>
      <c r="H35" s="11"/>
      <c r="I35" s="11"/>
      <c r="J35" s="12" t="s">
        <v>15</v>
      </c>
    </row>
    <row r="36" spans="2:11" ht="18.75" thickTop="1" x14ac:dyDescent="0.25">
      <c r="B36" s="13" t="s">
        <v>16</v>
      </c>
      <c r="C36"/>
      <c r="D36"/>
      <c r="E36" s="13" t="s">
        <v>17</v>
      </c>
      <c r="F36"/>
      <c r="G36"/>
      <c r="H36" s="14" t="s">
        <v>18</v>
      </c>
      <c r="I36" s="15">
        <v>2.3359999999999999E-2</v>
      </c>
      <c r="J36"/>
    </row>
    <row r="37" spans="2:11" ht="16.5" thickBot="1" x14ac:dyDescent="0.3">
      <c r="B37" s="16" t="s">
        <v>19</v>
      </c>
      <c r="C37"/>
      <c r="D37"/>
      <c r="E37" s="16" t="s">
        <v>214</v>
      </c>
      <c r="F37"/>
      <c r="G37"/>
      <c r="H37" s="17" t="s">
        <v>20</v>
      </c>
      <c r="I37" s="85">
        <v>0.56000000000000005</v>
      </c>
      <c r="J37" s="16" t="s">
        <v>13</v>
      </c>
    </row>
    <row r="38" spans="2:11" ht="15.75" x14ac:dyDescent="0.2">
      <c r="B38" s="67" t="s">
        <v>187</v>
      </c>
      <c r="C38" s="209" t="s">
        <v>215</v>
      </c>
      <c r="D38" s="209"/>
      <c r="E38" s="209"/>
      <c r="F38" s="209"/>
      <c r="G38" s="209"/>
      <c r="H38" s="210"/>
      <c r="I38" s="85"/>
      <c r="J38" s="16"/>
    </row>
    <row r="39" spans="2:11" ht="16.5" thickBot="1" x14ac:dyDescent="0.25">
      <c r="B39" s="80"/>
      <c r="C39" s="180" t="s">
        <v>170</v>
      </c>
      <c r="D39" s="180"/>
      <c r="E39" s="180"/>
      <c r="F39" s="180"/>
      <c r="G39" s="180"/>
      <c r="H39" s="211"/>
      <c r="I39" s="181" t="s">
        <v>22</v>
      </c>
      <c r="J39" s="181"/>
    </row>
    <row r="40" spans="2:11" ht="15.75" thickBot="1" x14ac:dyDescent="0.3">
      <c r="B40" s="178" t="s">
        <v>23</v>
      </c>
      <c r="C40" s="178"/>
      <c r="D40" s="179" t="s">
        <v>24</v>
      </c>
      <c r="E40" s="179" t="s">
        <v>25</v>
      </c>
      <c r="F40" s="179"/>
      <c r="G40" s="179" t="s">
        <v>26</v>
      </c>
      <c r="H40" s="179"/>
      <c r="I40"/>
      <c r="J40" s="22" t="s">
        <v>27</v>
      </c>
      <c r="K40" s="212" t="s">
        <v>206</v>
      </c>
    </row>
    <row r="41" spans="2:11" ht="15.75" thickBot="1" x14ac:dyDescent="0.25">
      <c r="B41" s="178"/>
      <c r="C41" s="178"/>
      <c r="D41" s="179"/>
      <c r="E41" s="21" t="s">
        <v>28</v>
      </c>
      <c r="F41" s="21" t="s">
        <v>29</v>
      </c>
      <c r="G41" s="21" t="s">
        <v>30</v>
      </c>
      <c r="H41" s="21" t="s">
        <v>31</v>
      </c>
      <c r="I41" s="23"/>
      <c r="J41" s="21" t="s">
        <v>32</v>
      </c>
      <c r="K41" s="213"/>
    </row>
    <row r="42" spans="2:11" ht="28.5" x14ac:dyDescent="0.25">
      <c r="B42" s="24" t="s">
        <v>166</v>
      </c>
      <c r="C42" s="25" t="s">
        <v>167</v>
      </c>
      <c r="D42" s="26">
        <v>1</v>
      </c>
      <c r="E42" s="27">
        <v>0.02</v>
      </c>
      <c r="F42" s="27">
        <v>0.98</v>
      </c>
      <c r="G42" s="28">
        <v>17.892700000000001</v>
      </c>
      <c r="H42" s="28">
        <v>11.1877</v>
      </c>
      <c r="I42"/>
      <c r="J42" s="28">
        <f>D42*(E42*G42+F42*H42)</f>
        <v>11.3218</v>
      </c>
      <c r="K42" s="120"/>
    </row>
    <row r="43" spans="2:11" ht="42.75" x14ac:dyDescent="0.25">
      <c r="B43" s="24" t="s">
        <v>171</v>
      </c>
      <c r="C43" s="25" t="s">
        <v>172</v>
      </c>
      <c r="D43" s="26">
        <v>1</v>
      </c>
      <c r="E43" s="27">
        <v>0.26</v>
      </c>
      <c r="F43" s="107">
        <v>0.74</v>
      </c>
      <c r="G43" s="108">
        <v>101.554</v>
      </c>
      <c r="H43" s="108">
        <v>56.776400000000002</v>
      </c>
      <c r="I43" s="109"/>
      <c r="J43" s="108">
        <f>D43*(E43*G43+F43*H43)</f>
        <v>68.418576000000002</v>
      </c>
      <c r="K43" s="120"/>
    </row>
    <row r="44" spans="2:11" ht="28.5" x14ac:dyDescent="0.25">
      <c r="B44" s="24" t="s">
        <v>190</v>
      </c>
      <c r="C44" s="25" t="s">
        <v>191</v>
      </c>
      <c r="D44" s="26">
        <v>1</v>
      </c>
      <c r="E44" s="27">
        <v>0.33</v>
      </c>
      <c r="F44" s="27">
        <v>0.67</v>
      </c>
      <c r="G44" s="28">
        <v>21.5336</v>
      </c>
      <c r="H44" s="28">
        <v>2.0306999999999999</v>
      </c>
      <c r="I44"/>
      <c r="J44" s="28">
        <f>D44*(E44*G44+F44*H44)</f>
        <v>8.4666570000000014</v>
      </c>
      <c r="K44" s="120"/>
    </row>
    <row r="45" spans="2:11" ht="15.75" thickBot="1" x14ac:dyDescent="0.25">
      <c r="B45" s="23"/>
      <c r="C45" s="23"/>
      <c r="D45" s="23"/>
      <c r="E45" s="23"/>
      <c r="F45" s="23"/>
      <c r="G45" s="23"/>
      <c r="H45" s="29" t="s">
        <v>37</v>
      </c>
      <c r="I45" s="23"/>
      <c r="J45" s="30">
        <f>SUM(J42:J44)</f>
        <v>88.207032999999996</v>
      </c>
      <c r="K45" s="120"/>
    </row>
    <row r="46" spans="2:11" ht="15.75" thickBot="1" x14ac:dyDescent="0.25">
      <c r="B46" s="20" t="s">
        <v>38</v>
      </c>
      <c r="C46" s="23"/>
      <c r="D46" s="21" t="s">
        <v>24</v>
      </c>
      <c r="E46" s="21" t="s">
        <v>39</v>
      </c>
      <c r="F46" s="23"/>
      <c r="G46" s="21" t="s">
        <v>26</v>
      </c>
      <c r="H46" s="177" t="s">
        <v>40</v>
      </c>
      <c r="I46" s="177"/>
      <c r="J46" s="177"/>
      <c r="K46" s="120"/>
    </row>
    <row r="47" spans="2:11" ht="15" x14ac:dyDescent="0.25">
      <c r="B47" s="24" t="s">
        <v>41</v>
      </c>
      <c r="C47" s="25" t="s">
        <v>228</v>
      </c>
      <c r="D47" s="26">
        <v>6</v>
      </c>
      <c r="E47" s="24" t="s">
        <v>42</v>
      </c>
      <c r="F47"/>
      <c r="G47" s="28">
        <v>22.416899999999998</v>
      </c>
      <c r="H47"/>
      <c r="I47"/>
      <c r="J47" s="28">
        <f>D47*G47</f>
        <v>134.50139999999999</v>
      </c>
      <c r="K47" s="120"/>
    </row>
    <row r="48" spans="2:11" ht="15" x14ac:dyDescent="0.25">
      <c r="B48"/>
      <c r="C48"/>
      <c r="D48" s="175" t="s">
        <v>43</v>
      </c>
      <c r="E48" s="175"/>
      <c r="F48" s="175"/>
      <c r="G48" s="175"/>
      <c r="H48" s="175"/>
      <c r="I48"/>
      <c r="J48" s="28">
        <f>J47</f>
        <v>134.50139999999999</v>
      </c>
      <c r="K48" s="120"/>
    </row>
    <row r="49" spans="2:11" ht="15.75" thickBot="1" x14ac:dyDescent="0.25">
      <c r="B49" s="23"/>
      <c r="C49" s="23"/>
      <c r="D49" s="177" t="s">
        <v>44</v>
      </c>
      <c r="E49" s="177"/>
      <c r="F49" s="177"/>
      <c r="G49" s="177"/>
      <c r="H49" s="177"/>
      <c r="I49" s="23"/>
      <c r="J49" s="32">
        <f>SUM(J45,J48)</f>
        <v>222.70843299999999</v>
      </c>
      <c r="K49" s="120"/>
    </row>
    <row r="50" spans="2:11" ht="15" x14ac:dyDescent="0.25">
      <c r="B50"/>
      <c r="C50"/>
      <c r="D50" s="175" t="s">
        <v>45</v>
      </c>
      <c r="E50" s="175"/>
      <c r="F50" s="175"/>
      <c r="G50" s="175"/>
      <c r="H50" s="175"/>
      <c r="I50"/>
      <c r="J50" s="33">
        <f>J49/I37</f>
        <v>397.69363035714281</v>
      </c>
      <c r="K50" s="120"/>
    </row>
    <row r="51" spans="2:11" ht="15" x14ac:dyDescent="0.25">
      <c r="B51"/>
      <c r="C51"/>
      <c r="D51" s="175" t="s">
        <v>204</v>
      </c>
      <c r="E51" s="175"/>
      <c r="F51" s="175"/>
      <c r="G51" s="175"/>
      <c r="H51" s="175"/>
      <c r="I51"/>
      <c r="J51" s="33">
        <f>J50*J45/(J45+J48)</f>
        <v>157.51255892857139</v>
      </c>
      <c r="K51" s="121">
        <f>D60*J92*2.4</f>
        <v>48.183646072289157</v>
      </c>
    </row>
    <row r="52" spans="2:11" ht="15" x14ac:dyDescent="0.25">
      <c r="B52"/>
      <c r="C52"/>
      <c r="D52" s="175" t="s">
        <v>205</v>
      </c>
      <c r="E52" s="175"/>
      <c r="F52" s="175"/>
      <c r="G52" s="175"/>
      <c r="H52" s="175"/>
      <c r="I52"/>
      <c r="J52" s="33">
        <f>J50*J48/(J45+J48)</f>
        <v>240.18107142857139</v>
      </c>
      <c r="K52" s="120">
        <f>D60*J93*2.4</f>
        <v>2.1606650602409636</v>
      </c>
    </row>
    <row r="53" spans="2:11" ht="15" x14ac:dyDescent="0.25">
      <c r="B53"/>
      <c r="C53"/>
      <c r="D53"/>
      <c r="E53"/>
      <c r="F53"/>
      <c r="G53"/>
      <c r="H53" s="31" t="s">
        <v>46</v>
      </c>
      <c r="I53"/>
      <c r="J53" s="34">
        <f>J50*I36</f>
        <v>9.2901232051428551</v>
      </c>
      <c r="K53" s="120"/>
    </row>
    <row r="54" spans="2:11" ht="15.75" thickBot="1" x14ac:dyDescent="0.3">
      <c r="B54"/>
      <c r="C54"/>
      <c r="D54"/>
      <c r="E54"/>
      <c r="F54"/>
      <c r="G54"/>
      <c r="H54" s="29" t="s">
        <v>47</v>
      </c>
      <c r="I54"/>
      <c r="J54" s="32" t="s">
        <v>48</v>
      </c>
      <c r="K54" s="120"/>
    </row>
    <row r="55" spans="2:11" ht="15.75" thickBot="1" x14ac:dyDescent="0.25">
      <c r="B55" s="75" t="s">
        <v>49</v>
      </c>
      <c r="C55" s="76"/>
      <c r="D55" s="77" t="s">
        <v>24</v>
      </c>
      <c r="E55" s="77" t="s">
        <v>39</v>
      </c>
      <c r="F55" s="76"/>
      <c r="G55" s="77" t="s">
        <v>50</v>
      </c>
      <c r="H55" s="182" t="s">
        <v>51</v>
      </c>
      <c r="I55" s="182"/>
      <c r="J55" s="182"/>
      <c r="K55" s="120"/>
    </row>
    <row r="56" spans="2:11" ht="28.5" x14ac:dyDescent="0.25">
      <c r="B56" s="24" t="s">
        <v>192</v>
      </c>
      <c r="C56" s="25" t="s">
        <v>193</v>
      </c>
      <c r="D56" s="26">
        <v>0.14832999999999999</v>
      </c>
      <c r="E56" s="24" t="s">
        <v>194</v>
      </c>
      <c r="F56"/>
      <c r="G56" s="28">
        <v>504.30939999999998</v>
      </c>
      <c r="H56" s="31"/>
      <c r="I56" s="31"/>
      <c r="J56" s="28">
        <f>D56*G56</f>
        <v>74.804213301999994</v>
      </c>
      <c r="K56" s="120"/>
    </row>
    <row r="57" spans="2:11" ht="15" x14ac:dyDescent="0.25">
      <c r="B57" s="24" t="s">
        <v>168</v>
      </c>
      <c r="C57" s="25" t="s">
        <v>169</v>
      </c>
      <c r="D57" s="26">
        <v>8.9999999999999993E-3</v>
      </c>
      <c r="E57" s="24" t="s">
        <v>52</v>
      </c>
      <c r="F57"/>
      <c r="G57" s="37">
        <f>1000*Insumos_betum!F30</f>
        <v>3620</v>
      </c>
      <c r="H57"/>
      <c r="I57"/>
      <c r="J57" s="28">
        <f>D57*G57</f>
        <v>32.58</v>
      </c>
      <c r="K57" s="120"/>
    </row>
    <row r="58" spans="2:11" ht="15.75" thickBot="1" x14ac:dyDescent="0.25">
      <c r="B58" s="23"/>
      <c r="C58" s="23"/>
      <c r="D58" s="177" t="s">
        <v>53</v>
      </c>
      <c r="E58" s="177"/>
      <c r="F58" s="177"/>
      <c r="G58" s="177"/>
      <c r="H58" s="177"/>
      <c r="I58" s="23"/>
      <c r="J58" s="30">
        <f>SUM(J57:J57)</f>
        <v>32.58</v>
      </c>
      <c r="K58" s="120">
        <f>D60*J105*2.4</f>
        <v>986.69014438559998</v>
      </c>
    </row>
    <row r="59" spans="2:11" ht="15.75" thickBot="1" x14ac:dyDescent="0.25">
      <c r="B59" s="20" t="s">
        <v>54</v>
      </c>
      <c r="C59" s="23"/>
      <c r="D59" s="21" t="s">
        <v>24</v>
      </c>
      <c r="E59" s="21" t="s">
        <v>39</v>
      </c>
      <c r="F59" s="23"/>
      <c r="G59" s="21" t="s">
        <v>51</v>
      </c>
      <c r="H59" s="177" t="s">
        <v>51</v>
      </c>
      <c r="I59" s="177"/>
      <c r="J59" s="177"/>
      <c r="K59" s="120"/>
    </row>
    <row r="60" spans="2:11" ht="28.5" x14ac:dyDescent="0.25">
      <c r="B60" s="24">
        <v>6416078</v>
      </c>
      <c r="C60" s="25" t="s">
        <v>138</v>
      </c>
      <c r="D60" s="26">
        <v>1</v>
      </c>
      <c r="E60" s="24" t="s">
        <v>13</v>
      </c>
      <c r="F60"/>
      <c r="G60" s="37">
        <f>J127</f>
        <v>1096.9345676884298</v>
      </c>
      <c r="H60"/>
      <c r="I60"/>
      <c r="J60" s="28">
        <f>D60*G60</f>
        <v>1096.9345676884298</v>
      </c>
      <c r="K60" s="120"/>
    </row>
    <row r="61" spans="2:11" ht="15.75" thickBot="1" x14ac:dyDescent="0.25">
      <c r="B61" s="23"/>
      <c r="C61" s="23"/>
      <c r="D61" s="177" t="s">
        <v>55</v>
      </c>
      <c r="E61" s="177"/>
      <c r="F61" s="177"/>
      <c r="G61" s="177"/>
      <c r="H61" s="177"/>
      <c r="I61" s="23"/>
      <c r="J61" s="30">
        <f>J60</f>
        <v>1096.9345676884298</v>
      </c>
      <c r="K61" s="120"/>
    </row>
    <row r="62" spans="2:11" ht="15.75" thickBot="1" x14ac:dyDescent="0.25">
      <c r="B62" s="23"/>
      <c r="C62" s="23"/>
      <c r="D62" s="23"/>
      <c r="E62" s="23"/>
      <c r="F62" s="23"/>
      <c r="G62" s="23"/>
      <c r="H62" s="29" t="s">
        <v>56</v>
      </c>
      <c r="I62" s="23"/>
      <c r="J62" s="32">
        <f>SUM(J50,J53,J58,J61)</f>
        <v>1536.4983212507154</v>
      </c>
      <c r="K62" s="120"/>
    </row>
    <row r="63" spans="2:11" ht="15.75" thickBot="1" x14ac:dyDescent="0.25">
      <c r="B63" s="20" t="s">
        <v>57</v>
      </c>
      <c r="C63" s="23"/>
      <c r="D63" s="21" t="s">
        <v>1</v>
      </c>
      <c r="E63" s="21" t="s">
        <v>24</v>
      </c>
      <c r="F63" s="21" t="s">
        <v>39</v>
      </c>
      <c r="G63" s="23"/>
      <c r="H63" s="21" t="s">
        <v>51</v>
      </c>
      <c r="I63" s="177" t="s">
        <v>51</v>
      </c>
      <c r="J63" s="177"/>
      <c r="K63" s="120"/>
    </row>
    <row r="64" spans="2:11" ht="28.5" x14ac:dyDescent="0.25">
      <c r="B64" s="24" t="s">
        <v>195</v>
      </c>
      <c r="C64" s="25" t="s">
        <v>196</v>
      </c>
      <c r="D64" s="24" t="s">
        <v>197</v>
      </c>
      <c r="E64" s="26">
        <v>2.4</v>
      </c>
      <c r="F64" s="24" t="s">
        <v>52</v>
      </c>
      <c r="G64"/>
      <c r="H64" s="28">
        <v>34.17</v>
      </c>
      <c r="I64" s="31"/>
      <c r="J64" s="28">
        <f>E64*H64</f>
        <v>82.007999999999996</v>
      </c>
      <c r="K64" s="120"/>
    </row>
    <row r="65" spans="2:11" x14ac:dyDescent="0.2">
      <c r="B65" s="24"/>
      <c r="C65" s="25"/>
      <c r="D65" s="24"/>
      <c r="E65" s="26"/>
      <c r="F65" s="24"/>
      <c r="H65" s="28"/>
      <c r="J65" s="28"/>
      <c r="K65" s="120"/>
    </row>
    <row r="66" spans="2:11" ht="15.75" thickBot="1" x14ac:dyDescent="0.25">
      <c r="B66" s="23"/>
      <c r="C66" s="23"/>
      <c r="D66" s="177" t="s">
        <v>58</v>
      </c>
      <c r="E66" s="177"/>
      <c r="F66" s="177"/>
      <c r="G66" s="177"/>
      <c r="H66" s="177"/>
      <c r="I66" s="23"/>
      <c r="J66" s="32">
        <f>J64</f>
        <v>82.007999999999996</v>
      </c>
      <c r="K66" s="120">
        <f>D60*J116*2.4</f>
        <v>4.6246895999999991</v>
      </c>
    </row>
    <row r="67" spans="2:11" ht="15.75" thickBot="1" x14ac:dyDescent="0.3">
      <c r="B67" s="178" t="s">
        <v>59</v>
      </c>
      <c r="C67" s="178"/>
      <c r="D67" s="179" t="s">
        <v>24</v>
      </c>
      <c r="E67" s="179" t="s">
        <v>39</v>
      </c>
      <c r="F67" s="179" t="s">
        <v>60</v>
      </c>
      <c r="G67" s="179"/>
      <c r="H67" s="179"/>
      <c r="I67"/>
      <c r="J67" s="177" t="s">
        <v>51</v>
      </c>
      <c r="K67" s="120"/>
    </row>
    <row r="68" spans="2:11" ht="15.75" thickBot="1" x14ac:dyDescent="0.25">
      <c r="B68" s="178"/>
      <c r="C68" s="178"/>
      <c r="D68" s="179"/>
      <c r="E68" s="179"/>
      <c r="F68" s="21" t="s">
        <v>61</v>
      </c>
      <c r="G68" s="21" t="s">
        <v>62</v>
      </c>
      <c r="H68" s="21" t="s">
        <v>63</v>
      </c>
      <c r="I68" s="23"/>
      <c r="J68" s="177"/>
      <c r="K68" s="120"/>
    </row>
    <row r="69" spans="2:11" ht="28.5" x14ac:dyDescent="0.2">
      <c r="B69" s="24" t="s">
        <v>195</v>
      </c>
      <c r="C69" s="25" t="s">
        <v>196</v>
      </c>
      <c r="D69" s="26">
        <v>2.4</v>
      </c>
      <c r="E69" s="24" t="s">
        <v>69</v>
      </c>
      <c r="H69" s="38">
        <v>30</v>
      </c>
      <c r="J69" s="43">
        <f>'Caminhão basc 6 m³'!I25</f>
        <v>0.79634805890227578</v>
      </c>
      <c r="K69" s="120"/>
    </row>
    <row r="70" spans="2:11" ht="15.75" thickBot="1" x14ac:dyDescent="0.3">
      <c r="B70"/>
      <c r="C70"/>
      <c r="D70" s="175" t="s">
        <v>64</v>
      </c>
      <c r="E70" s="175"/>
      <c r="F70" s="175"/>
      <c r="G70" s="175"/>
      <c r="H70" s="175"/>
      <c r="I70"/>
      <c r="J70" s="86">
        <f>D69*H69*J69</f>
        <v>57.337060240963858</v>
      </c>
      <c r="K70" s="122">
        <f>D60*J125*2.4</f>
        <v>55.275422570299483</v>
      </c>
    </row>
    <row r="71" spans="2:11" ht="15.75" thickBot="1" x14ac:dyDescent="0.25">
      <c r="B71" s="11"/>
      <c r="C71" s="11"/>
      <c r="D71" s="11"/>
      <c r="E71" s="11"/>
      <c r="F71" s="176" t="s">
        <v>65</v>
      </c>
      <c r="G71" s="176"/>
      <c r="H71" s="176"/>
      <c r="I71" s="11"/>
      <c r="J71" s="87">
        <f>SUM(J62,J66,J70)</f>
        <v>1675.8433814916793</v>
      </c>
    </row>
    <row r="72" spans="2:11" ht="15.75" thickTop="1" x14ac:dyDescent="0.25">
      <c r="B72" s="36" t="s">
        <v>66</v>
      </c>
      <c r="C72"/>
      <c r="D72"/>
      <c r="E72"/>
      <c r="F72"/>
      <c r="G72"/>
      <c r="H72"/>
      <c r="I72"/>
      <c r="J72"/>
    </row>
    <row r="73" spans="2:11" x14ac:dyDescent="0.2"/>
    <row r="74" spans="2:11" ht="22.5" x14ac:dyDescent="0.2">
      <c r="B74" s="10" t="s">
        <v>14</v>
      </c>
      <c r="C74" s="11"/>
      <c r="D74" s="11"/>
      <c r="E74" s="11"/>
      <c r="F74" s="11"/>
      <c r="G74" s="11"/>
      <c r="H74" s="11"/>
      <c r="I74" s="11"/>
      <c r="J74" s="12" t="s">
        <v>15</v>
      </c>
    </row>
    <row r="75" spans="2:11" ht="18.75" thickTop="1" x14ac:dyDescent="0.2">
      <c r="B75" s="13" t="s">
        <v>16</v>
      </c>
      <c r="E75" s="13" t="s">
        <v>17</v>
      </c>
    </row>
    <row r="76" spans="2:11" ht="16.5" thickBot="1" x14ac:dyDescent="0.25">
      <c r="B76" s="16" t="s">
        <v>19</v>
      </c>
      <c r="E76" s="16" t="s">
        <v>214</v>
      </c>
      <c r="H76" s="17" t="s">
        <v>20</v>
      </c>
      <c r="I76" s="18">
        <v>99.6</v>
      </c>
      <c r="J76" s="16" t="s">
        <v>52</v>
      </c>
    </row>
    <row r="77" spans="2:11" ht="15.75" x14ac:dyDescent="0.2">
      <c r="B77" s="67" t="s">
        <v>165</v>
      </c>
      <c r="C77" s="209" t="s">
        <v>140</v>
      </c>
      <c r="D77" s="209"/>
      <c r="E77" s="209"/>
      <c r="F77" s="209"/>
      <c r="G77" s="209"/>
      <c r="H77" s="210"/>
      <c r="I77" s="18"/>
      <c r="J77" s="16"/>
    </row>
    <row r="78" spans="2:11" ht="16.5" thickBot="1" x14ac:dyDescent="0.3">
      <c r="B78" s="68"/>
      <c r="C78" s="180" t="s">
        <v>139</v>
      </c>
      <c r="D78" s="180"/>
      <c r="E78" s="180"/>
      <c r="F78" s="180"/>
      <c r="G78" s="180"/>
      <c r="H78" s="211"/>
      <c r="I78" s="181" t="s">
        <v>22</v>
      </c>
      <c r="J78" s="181"/>
    </row>
    <row r="79" spans="2:11" ht="15.75" thickBot="1" x14ac:dyDescent="0.25">
      <c r="B79" s="178" t="s">
        <v>23</v>
      </c>
      <c r="C79" s="178"/>
      <c r="D79" s="179" t="s">
        <v>24</v>
      </c>
      <c r="E79" s="179" t="s">
        <v>25</v>
      </c>
      <c r="F79" s="179"/>
      <c r="G79" s="179" t="s">
        <v>26</v>
      </c>
      <c r="H79" s="179"/>
      <c r="J79" s="22" t="s">
        <v>27</v>
      </c>
    </row>
    <row r="80" spans="2:11" ht="15.75" thickBot="1" x14ac:dyDescent="0.25">
      <c r="B80" s="178"/>
      <c r="C80" s="178"/>
      <c r="D80" s="179"/>
      <c r="E80" s="21" t="s">
        <v>28</v>
      </c>
      <c r="F80" s="21" t="s">
        <v>29</v>
      </c>
      <c r="G80" s="21" t="s">
        <v>30</v>
      </c>
      <c r="H80" s="21" t="s">
        <v>31</v>
      </c>
      <c r="I80" s="23"/>
      <c r="J80" s="21" t="s">
        <v>32</v>
      </c>
    </row>
    <row r="81" spans="2:11" x14ac:dyDescent="0.2">
      <c r="B81" s="24" t="s">
        <v>70</v>
      </c>
      <c r="C81" s="25" t="s">
        <v>71</v>
      </c>
      <c r="D81" s="26">
        <v>1</v>
      </c>
      <c r="E81" s="27">
        <v>1</v>
      </c>
      <c r="F81" s="27">
        <v>0</v>
      </c>
      <c r="G81" s="28">
        <v>70.061199999999999</v>
      </c>
      <c r="H81" s="28">
        <v>40.225000000000001</v>
      </c>
      <c r="J81" s="28">
        <f>D81*(E81*G81+F81*H81)</f>
        <v>70.061199999999999</v>
      </c>
    </row>
    <row r="82" spans="2:11" ht="28.5" x14ac:dyDescent="0.2">
      <c r="B82" s="24" t="s">
        <v>72</v>
      </c>
      <c r="C82" s="25" t="s">
        <v>73</v>
      </c>
      <c r="D82" s="26">
        <v>1</v>
      </c>
      <c r="E82" s="27">
        <v>0.86</v>
      </c>
      <c r="F82" s="27">
        <v>0.14000000000000001</v>
      </c>
      <c r="G82" s="28">
        <v>202.2877</v>
      </c>
      <c r="H82" s="28">
        <v>100.8635</v>
      </c>
      <c r="J82" s="28">
        <f>D82*(E82*G82+F82*H82)</f>
        <v>188.088312</v>
      </c>
    </row>
    <row r="83" spans="2:11" x14ac:dyDescent="0.2">
      <c r="B83" s="24" t="s">
        <v>74</v>
      </c>
      <c r="C83" s="25" t="s">
        <v>75</v>
      </c>
      <c r="D83" s="26">
        <v>1</v>
      </c>
      <c r="E83" s="27">
        <v>1</v>
      </c>
      <c r="F83" s="27">
        <v>0</v>
      </c>
      <c r="G83" s="28">
        <v>394.49860000000001</v>
      </c>
      <c r="H83" s="28">
        <v>22.624300000000002</v>
      </c>
      <c r="J83" s="28">
        <f>D83*(E83*G83+F83*H83)</f>
        <v>394.49860000000001</v>
      </c>
    </row>
    <row r="84" spans="2:11" ht="28.5" x14ac:dyDescent="0.2">
      <c r="B84" s="24" t="s">
        <v>35</v>
      </c>
      <c r="C84" s="25" t="s">
        <v>36</v>
      </c>
      <c r="D84" s="26">
        <v>2</v>
      </c>
      <c r="E84" s="27">
        <v>1</v>
      </c>
      <c r="F84" s="27">
        <v>0</v>
      </c>
      <c r="G84" s="28">
        <v>56.919400000000003</v>
      </c>
      <c r="H84" s="28">
        <v>38.880099999999999</v>
      </c>
      <c r="J84" s="28">
        <f>D84*(E84*G84+F84*H84)</f>
        <v>113.83880000000001</v>
      </c>
    </row>
    <row r="85" spans="2:11" ht="42.75" x14ac:dyDescent="0.2">
      <c r="B85" s="24" t="s">
        <v>76</v>
      </c>
      <c r="C85" s="25" t="s">
        <v>77</v>
      </c>
      <c r="D85" s="26">
        <v>1</v>
      </c>
      <c r="E85" s="27">
        <v>1</v>
      </c>
      <c r="F85" s="27">
        <v>0</v>
      </c>
      <c r="G85" s="28">
        <v>1233.1343999999999</v>
      </c>
      <c r="H85" s="28">
        <v>652.82730000000004</v>
      </c>
      <c r="J85" s="28">
        <f>D85*(E85*G85+F85*H85)</f>
        <v>1233.1343999999999</v>
      </c>
    </row>
    <row r="86" spans="2:11" ht="15.75" thickBot="1" x14ac:dyDescent="0.25">
      <c r="B86" s="23"/>
      <c r="C86" s="23"/>
      <c r="D86" s="23"/>
      <c r="E86" s="23"/>
      <c r="F86" s="23"/>
      <c r="G86" s="23"/>
      <c r="H86" s="29" t="s">
        <v>37</v>
      </c>
      <c r="I86" s="23"/>
      <c r="J86" s="30">
        <f>SUM(J81:J85)</f>
        <v>1999.621312</v>
      </c>
    </row>
    <row r="87" spans="2:11" ht="15.75" thickBot="1" x14ac:dyDescent="0.25">
      <c r="B87" s="20" t="s">
        <v>38</v>
      </c>
      <c r="C87" s="23"/>
      <c r="D87" s="21" t="s">
        <v>24</v>
      </c>
      <c r="E87" s="21" t="s">
        <v>39</v>
      </c>
      <c r="F87" s="23"/>
      <c r="G87" s="21" t="s">
        <v>26</v>
      </c>
      <c r="H87" s="177" t="s">
        <v>40</v>
      </c>
      <c r="I87" s="177"/>
      <c r="J87" s="177"/>
    </row>
    <row r="88" spans="2:11" x14ac:dyDescent="0.2">
      <c r="B88" s="24" t="s">
        <v>41</v>
      </c>
      <c r="C88" s="25" t="s">
        <v>228</v>
      </c>
      <c r="D88" s="26">
        <v>4</v>
      </c>
      <c r="E88" s="24" t="s">
        <v>42</v>
      </c>
      <c r="G88" s="28">
        <v>22.416899999999998</v>
      </c>
      <c r="J88" s="28">
        <f>D88*G88</f>
        <v>89.667599999999993</v>
      </c>
    </row>
    <row r="89" spans="2:11" ht="15" x14ac:dyDescent="0.2">
      <c r="D89" s="175" t="s">
        <v>43</v>
      </c>
      <c r="E89" s="175"/>
      <c r="F89" s="175"/>
      <c r="G89" s="175"/>
      <c r="H89" s="175"/>
      <c r="J89" s="28">
        <f>J88</f>
        <v>89.667599999999993</v>
      </c>
    </row>
    <row r="90" spans="2:11" ht="15.75" thickBot="1" x14ac:dyDescent="0.25">
      <c r="B90" s="23"/>
      <c r="C90" s="23"/>
      <c r="D90" s="177" t="s">
        <v>44</v>
      </c>
      <c r="E90" s="177"/>
      <c r="F90" s="177"/>
      <c r="G90" s="177"/>
      <c r="H90" s="177"/>
      <c r="I90" s="23"/>
      <c r="J90" s="32">
        <f>SUM(J89,J86)</f>
        <v>2089.288912</v>
      </c>
    </row>
    <row r="91" spans="2:11" ht="15" x14ac:dyDescent="0.2">
      <c r="D91" s="175" t="s">
        <v>45</v>
      </c>
      <c r="E91" s="175"/>
      <c r="F91" s="175"/>
      <c r="G91" s="175"/>
      <c r="H91" s="175"/>
      <c r="J91" s="33">
        <f>J90/I76</f>
        <v>20.976796305220883</v>
      </c>
    </row>
    <row r="92" spans="2:11" ht="15" x14ac:dyDescent="0.25">
      <c r="D92" s="175" t="s">
        <v>204</v>
      </c>
      <c r="E92" s="175"/>
      <c r="F92" s="175"/>
      <c r="G92" s="175"/>
      <c r="H92" s="175"/>
      <c r="I92"/>
      <c r="J92" s="33">
        <f>J91*J86/(J86+J89)</f>
        <v>20.076519196787149</v>
      </c>
      <c r="K92" s="119"/>
    </row>
    <row r="93" spans="2:11" ht="15" x14ac:dyDescent="0.25">
      <c r="D93" s="175" t="s">
        <v>205</v>
      </c>
      <c r="E93" s="175"/>
      <c r="F93" s="175"/>
      <c r="G93" s="175"/>
      <c r="H93" s="175"/>
      <c r="I93"/>
      <c r="J93" s="33">
        <f>J91*J89/(J86+J89)</f>
        <v>0.90027710843373487</v>
      </c>
    </row>
    <row r="94" spans="2:11" ht="15" x14ac:dyDescent="0.2">
      <c r="H94" s="31" t="s">
        <v>46</v>
      </c>
      <c r="J94" s="34" t="s">
        <v>48</v>
      </c>
    </row>
    <row r="95" spans="2:11" ht="15.75" thickBot="1" x14ac:dyDescent="0.25">
      <c r="B95" s="23"/>
      <c r="C95" s="23"/>
      <c r="D95" s="23"/>
      <c r="E95" s="23"/>
      <c r="F95" s="23"/>
      <c r="G95" s="23"/>
      <c r="H95" s="29" t="s">
        <v>47</v>
      </c>
      <c r="I95" s="23"/>
      <c r="J95" s="32" t="s">
        <v>48</v>
      </c>
    </row>
    <row r="96" spans="2:11" ht="15.75" thickBot="1" x14ac:dyDescent="0.25">
      <c r="B96" s="20" t="s">
        <v>49</v>
      </c>
      <c r="C96" s="23"/>
      <c r="D96" s="21" t="s">
        <v>24</v>
      </c>
      <c r="E96" s="21" t="s">
        <v>39</v>
      </c>
      <c r="F96" s="23"/>
      <c r="G96" s="21" t="s">
        <v>50</v>
      </c>
      <c r="H96" s="177" t="s">
        <v>51</v>
      </c>
      <c r="I96" s="177"/>
      <c r="J96" s="177"/>
    </row>
    <row r="97" spans="2:10" x14ac:dyDescent="0.2">
      <c r="B97" s="24" t="s">
        <v>78</v>
      </c>
      <c r="C97" s="25" t="s">
        <v>79</v>
      </c>
      <c r="D97" s="26">
        <v>2.7009999999999999E-2</v>
      </c>
      <c r="E97" s="24" t="s">
        <v>13</v>
      </c>
      <c r="G97" s="28">
        <v>135.20820000000001</v>
      </c>
      <c r="J97" s="28">
        <f t="shared" ref="J97:J104" si="0">D97*G97</f>
        <v>3.6519734819999998</v>
      </c>
    </row>
    <row r="98" spans="2:10" x14ac:dyDescent="0.2">
      <c r="B98" s="24" t="s">
        <v>80</v>
      </c>
      <c r="C98" s="25" t="s">
        <v>81</v>
      </c>
      <c r="D98" s="26">
        <v>9.0029999999999999E-2</v>
      </c>
      <c r="E98" s="24" t="s">
        <v>13</v>
      </c>
      <c r="G98" s="28">
        <v>148.96520000000001</v>
      </c>
      <c r="J98" s="28">
        <f t="shared" si="0"/>
        <v>13.411336956000001</v>
      </c>
    </row>
    <row r="99" spans="2:10" x14ac:dyDescent="0.2">
      <c r="B99" s="24" t="s">
        <v>82</v>
      </c>
      <c r="C99" s="25" t="s">
        <v>83</v>
      </c>
      <c r="D99" s="26">
        <v>3.2149999999999998E-2</v>
      </c>
      <c r="E99" s="24" t="s">
        <v>13</v>
      </c>
      <c r="G99" s="28">
        <v>146.62360000000001</v>
      </c>
      <c r="J99" s="28">
        <f t="shared" si="0"/>
        <v>4.7139487400000002</v>
      </c>
    </row>
    <row r="100" spans="2:10" x14ac:dyDescent="0.2">
      <c r="B100" s="24" t="s">
        <v>84</v>
      </c>
      <c r="C100" s="25" t="s">
        <v>85</v>
      </c>
      <c r="D100" s="26">
        <v>14.4636</v>
      </c>
      <c r="E100" s="24" t="s">
        <v>86</v>
      </c>
      <c r="G100" s="28">
        <v>0.41199999999999998</v>
      </c>
      <c r="J100" s="28">
        <f t="shared" si="0"/>
        <v>5.9590031999999997</v>
      </c>
    </row>
    <row r="101" spans="2:10" ht="28.5" x14ac:dyDescent="0.2">
      <c r="B101" s="24" t="s">
        <v>87</v>
      </c>
      <c r="C101" s="25" t="s">
        <v>88</v>
      </c>
      <c r="D101" s="26">
        <v>5.5449999999999999E-2</v>
      </c>
      <c r="E101" s="24" t="s">
        <v>52</v>
      </c>
      <c r="G101" s="37">
        <f>1000*Insumos_betum!F19</f>
        <v>4920</v>
      </c>
      <c r="J101" s="28">
        <f t="shared" si="0"/>
        <v>272.81400000000002</v>
      </c>
    </row>
    <row r="102" spans="2:10" x14ac:dyDescent="0.2">
      <c r="B102" s="24" t="s">
        <v>89</v>
      </c>
      <c r="C102" s="25" t="s">
        <v>90</v>
      </c>
      <c r="D102" s="26">
        <v>8</v>
      </c>
      <c r="E102" s="24" t="s">
        <v>91</v>
      </c>
      <c r="G102" s="28">
        <v>6.0152999999999999</v>
      </c>
      <c r="J102" s="28">
        <f t="shared" si="0"/>
        <v>48.122399999999999</v>
      </c>
    </row>
    <row r="103" spans="2:10" x14ac:dyDescent="0.2">
      <c r="B103" s="24" t="s">
        <v>92</v>
      </c>
      <c r="C103" s="25" t="s">
        <v>93</v>
      </c>
      <c r="D103" s="26">
        <v>0.1479</v>
      </c>
      <c r="E103" s="24" t="s">
        <v>13</v>
      </c>
      <c r="G103" s="28">
        <v>147.4623</v>
      </c>
      <c r="J103" s="28">
        <f t="shared" si="0"/>
        <v>21.809674170000001</v>
      </c>
    </row>
    <row r="104" spans="2:10" ht="15" x14ac:dyDescent="0.25">
      <c r="B104" s="24" t="s">
        <v>216</v>
      </c>
      <c r="C104" s="25" t="s">
        <v>217</v>
      </c>
      <c r="D104" s="26">
        <v>0.33631</v>
      </c>
      <c r="E104" s="24" t="s">
        <v>13</v>
      </c>
      <c r="F104"/>
      <c r="G104" s="28">
        <v>120.8366</v>
      </c>
      <c r="J104" s="28">
        <f t="shared" si="0"/>
        <v>40.638556946000001</v>
      </c>
    </row>
    <row r="105" spans="2:10" ht="15.75" thickBot="1" x14ac:dyDescent="0.25">
      <c r="B105" s="23"/>
      <c r="C105" s="23"/>
      <c r="D105" s="177" t="s">
        <v>53</v>
      </c>
      <c r="E105" s="177"/>
      <c r="F105" s="177"/>
      <c r="G105" s="177"/>
      <c r="H105" s="177"/>
      <c r="I105" s="23"/>
      <c r="J105" s="30">
        <f>SUM(J97:J104)</f>
        <v>411.12089349400003</v>
      </c>
    </row>
    <row r="106" spans="2:10" ht="15.75" thickBot="1" x14ac:dyDescent="0.25">
      <c r="B106" s="20" t="s">
        <v>54</v>
      </c>
      <c r="C106" s="23"/>
      <c r="D106" s="21" t="s">
        <v>24</v>
      </c>
      <c r="E106" s="21" t="s">
        <v>39</v>
      </c>
      <c r="F106" s="23"/>
      <c r="G106" s="21" t="s">
        <v>51</v>
      </c>
      <c r="H106" s="177" t="s">
        <v>51</v>
      </c>
      <c r="I106" s="177"/>
      <c r="J106" s="177"/>
    </row>
    <row r="107" spans="2:10" ht="15.75" thickBot="1" x14ac:dyDescent="0.25">
      <c r="B107" s="23"/>
      <c r="C107" s="23"/>
      <c r="D107" s="177" t="s">
        <v>55</v>
      </c>
      <c r="E107" s="177"/>
      <c r="F107" s="177"/>
      <c r="G107" s="177"/>
      <c r="H107" s="177"/>
      <c r="I107" s="23"/>
      <c r="J107" s="30"/>
    </row>
    <row r="108" spans="2:10" ht="15.75" thickBot="1" x14ac:dyDescent="0.25">
      <c r="B108" s="23"/>
      <c r="C108" s="23"/>
      <c r="D108" s="23"/>
      <c r="E108" s="23"/>
      <c r="F108" s="23"/>
      <c r="G108" s="23"/>
      <c r="H108" s="29" t="s">
        <v>56</v>
      </c>
      <c r="I108" s="23"/>
      <c r="J108" s="32">
        <f>SUM(J105,J91)</f>
        <v>432.09768979922092</v>
      </c>
    </row>
    <row r="109" spans="2:10" ht="15.75" thickBot="1" x14ac:dyDescent="0.25">
      <c r="B109" s="20" t="s">
        <v>57</v>
      </c>
      <c r="C109" s="23"/>
      <c r="D109" s="21" t="s">
        <v>1</v>
      </c>
      <c r="E109" s="21" t="s">
        <v>24</v>
      </c>
      <c r="F109" s="21" t="s">
        <v>39</v>
      </c>
      <c r="G109" s="23"/>
      <c r="H109" s="21" t="s">
        <v>51</v>
      </c>
      <c r="I109" s="177" t="s">
        <v>51</v>
      </c>
      <c r="J109" s="177"/>
    </row>
    <row r="110" spans="2:10" ht="28.5" x14ac:dyDescent="0.2">
      <c r="B110" s="24" t="s">
        <v>78</v>
      </c>
      <c r="C110" s="25" t="s">
        <v>94</v>
      </c>
      <c r="D110" s="24" t="s">
        <v>95</v>
      </c>
      <c r="E110" s="26">
        <v>4.052E-2</v>
      </c>
      <c r="F110" s="24" t="s">
        <v>52</v>
      </c>
      <c r="H110" s="28">
        <v>1.77</v>
      </c>
      <c r="J110" s="28">
        <f t="shared" ref="J110:J115" si="1">E110*H110</f>
        <v>7.1720400000000004E-2</v>
      </c>
    </row>
    <row r="111" spans="2:10" x14ac:dyDescent="0.2">
      <c r="B111" s="24" t="s">
        <v>80</v>
      </c>
      <c r="C111" s="25" t="s">
        <v>96</v>
      </c>
      <c r="D111" s="24" t="s">
        <v>95</v>
      </c>
      <c r="E111" s="26">
        <v>0.13505</v>
      </c>
      <c r="F111" s="24" t="s">
        <v>52</v>
      </c>
      <c r="H111" s="28">
        <v>1.77</v>
      </c>
      <c r="J111" s="28">
        <f t="shared" si="1"/>
        <v>0.23903850000000001</v>
      </c>
    </row>
    <row r="112" spans="2:10" x14ac:dyDescent="0.2">
      <c r="B112" s="24" t="s">
        <v>82</v>
      </c>
      <c r="C112" s="25" t="s">
        <v>97</v>
      </c>
      <c r="D112" s="24" t="s">
        <v>95</v>
      </c>
      <c r="E112" s="26">
        <v>4.8230000000000002E-2</v>
      </c>
      <c r="F112" s="24" t="s">
        <v>52</v>
      </c>
      <c r="H112" s="28">
        <v>1.77</v>
      </c>
      <c r="J112" s="28">
        <f t="shared" si="1"/>
        <v>8.5367100000000001E-2</v>
      </c>
    </row>
    <row r="113" spans="2:10" ht="28.5" x14ac:dyDescent="0.2">
      <c r="B113" s="24" t="s">
        <v>84</v>
      </c>
      <c r="C113" s="25" t="s">
        <v>98</v>
      </c>
      <c r="D113" s="24" t="s">
        <v>99</v>
      </c>
      <c r="E113" s="26">
        <v>1.4460000000000001E-2</v>
      </c>
      <c r="F113" s="24" t="s">
        <v>52</v>
      </c>
      <c r="H113" s="28">
        <v>16.96</v>
      </c>
      <c r="J113" s="28">
        <f t="shared" si="1"/>
        <v>0.24524160000000003</v>
      </c>
    </row>
    <row r="114" spans="2:10" ht="28.5" x14ac:dyDescent="0.2">
      <c r="B114" s="24" t="s">
        <v>92</v>
      </c>
      <c r="C114" s="25" t="s">
        <v>100</v>
      </c>
      <c r="D114" s="24" t="s">
        <v>95</v>
      </c>
      <c r="E114" s="26">
        <v>0.22184999999999999</v>
      </c>
      <c r="F114" s="24" t="s">
        <v>52</v>
      </c>
      <c r="H114" s="28">
        <v>1.77</v>
      </c>
      <c r="J114" s="28">
        <f t="shared" si="1"/>
        <v>0.39267449999999998</v>
      </c>
    </row>
    <row r="115" spans="2:10" ht="28.5" x14ac:dyDescent="0.25">
      <c r="B115" s="24" t="s">
        <v>216</v>
      </c>
      <c r="C115" s="25" t="s">
        <v>218</v>
      </c>
      <c r="D115" s="24" t="s">
        <v>95</v>
      </c>
      <c r="E115" s="26">
        <v>0.50446999999999997</v>
      </c>
      <c r="F115" s="24" t="s">
        <v>52</v>
      </c>
      <c r="G115"/>
      <c r="H115" s="28">
        <v>1.77</v>
      </c>
      <c r="I115"/>
      <c r="J115" s="28">
        <f t="shared" si="1"/>
        <v>0.89291189999999998</v>
      </c>
    </row>
    <row r="116" spans="2:10" ht="15.75" thickBot="1" x14ac:dyDescent="0.25">
      <c r="B116" s="23"/>
      <c r="C116" s="23"/>
      <c r="D116" s="177" t="s">
        <v>58</v>
      </c>
      <c r="E116" s="177"/>
      <c r="F116" s="177"/>
      <c r="G116" s="177"/>
      <c r="H116" s="177"/>
      <c r="I116" s="23"/>
      <c r="J116" s="32">
        <f>SUM(J110:J115)</f>
        <v>1.9269539999999998</v>
      </c>
    </row>
    <row r="117" spans="2:10" ht="15.75" thickBot="1" x14ac:dyDescent="0.25">
      <c r="B117" s="178" t="s">
        <v>59</v>
      </c>
      <c r="C117" s="178"/>
      <c r="D117" s="179" t="s">
        <v>24</v>
      </c>
      <c r="E117" s="179" t="s">
        <v>39</v>
      </c>
      <c r="F117" s="179" t="s">
        <v>60</v>
      </c>
      <c r="G117" s="179"/>
      <c r="H117" s="179"/>
      <c r="J117" s="177" t="s">
        <v>51</v>
      </c>
    </row>
    <row r="118" spans="2:10" ht="15.75" thickBot="1" x14ac:dyDescent="0.25">
      <c r="B118" s="178"/>
      <c r="C118" s="178"/>
      <c r="D118" s="179"/>
      <c r="E118" s="179"/>
      <c r="F118" s="21" t="s">
        <v>61</v>
      </c>
      <c r="G118" s="21" t="s">
        <v>62</v>
      </c>
      <c r="H118" s="21" t="s">
        <v>63</v>
      </c>
      <c r="I118" s="23"/>
      <c r="J118" s="177"/>
    </row>
    <row r="119" spans="2:10" ht="28.5" x14ac:dyDescent="0.2">
      <c r="B119" s="24" t="s">
        <v>78</v>
      </c>
      <c r="C119" s="25" t="s">
        <v>94</v>
      </c>
      <c r="D119" s="26">
        <v>4.052E-2</v>
      </c>
      <c r="E119" s="24" t="s">
        <v>69</v>
      </c>
      <c r="H119" s="38">
        <v>30</v>
      </c>
      <c r="J119" s="43">
        <f>'Caminhão basc 10 m³'!$I$25</f>
        <v>0.79941258366800538</v>
      </c>
    </row>
    <row r="120" spans="2:10" x14ac:dyDescent="0.2">
      <c r="B120" s="24" t="s">
        <v>80</v>
      </c>
      <c r="C120" s="25" t="s">
        <v>96</v>
      </c>
      <c r="D120" s="26">
        <v>0.13505</v>
      </c>
      <c r="E120" s="24" t="s">
        <v>69</v>
      </c>
      <c r="H120" s="38">
        <v>30</v>
      </c>
      <c r="J120" s="43">
        <f>'Caminhão basc 10 m³'!$I$25</f>
        <v>0.79941258366800538</v>
      </c>
    </row>
    <row r="121" spans="2:10" x14ac:dyDescent="0.2">
      <c r="B121" s="24" t="s">
        <v>82</v>
      </c>
      <c r="C121" s="25" t="s">
        <v>97</v>
      </c>
      <c r="D121" s="26">
        <v>4.8230000000000002E-2</v>
      </c>
      <c r="E121" s="24" t="s">
        <v>69</v>
      </c>
      <c r="H121" s="38">
        <v>30</v>
      </c>
      <c r="J121" s="43">
        <f>'Caminhão basc 10 m³'!$I$25</f>
        <v>0.79941258366800538</v>
      </c>
    </row>
    <row r="122" spans="2:10" ht="28.5" x14ac:dyDescent="0.2">
      <c r="B122" s="24" t="s">
        <v>84</v>
      </c>
      <c r="C122" s="25" t="s">
        <v>98</v>
      </c>
      <c r="D122" s="26">
        <v>1.4460000000000001E-2</v>
      </c>
      <c r="E122" s="24" t="s">
        <v>69</v>
      </c>
      <c r="H122" s="38">
        <v>30</v>
      </c>
      <c r="J122" s="43">
        <f>'Caminhão silo 30 m²'!I25</f>
        <v>0.56544387072097912</v>
      </c>
    </row>
    <row r="123" spans="2:10" ht="28.5" x14ac:dyDescent="0.2">
      <c r="B123" s="24" t="s">
        <v>92</v>
      </c>
      <c r="C123" s="25" t="s">
        <v>100</v>
      </c>
      <c r="D123" s="26">
        <v>0.22184999999999999</v>
      </c>
      <c r="E123" s="24" t="s">
        <v>69</v>
      </c>
      <c r="H123" s="38">
        <v>30</v>
      </c>
      <c r="J123" s="43">
        <f>'Caminhão basc 10 m³'!$I$25</f>
        <v>0.79941258366800538</v>
      </c>
    </row>
    <row r="124" spans="2:10" ht="28.5" x14ac:dyDescent="0.2">
      <c r="B124" s="24" t="s">
        <v>216</v>
      </c>
      <c r="C124" s="25" t="s">
        <v>218</v>
      </c>
      <c r="D124" s="26">
        <v>0.50446999999999997</v>
      </c>
      <c r="E124" s="24" t="s">
        <v>69</v>
      </c>
      <c r="H124" s="38">
        <v>30</v>
      </c>
      <c r="J124" s="43">
        <f>'Caminhão basc 10 m³'!$I$25</f>
        <v>0.79941258366800538</v>
      </c>
    </row>
    <row r="125" spans="2:10" ht="15.75" thickBot="1" x14ac:dyDescent="0.25">
      <c r="D125" s="175" t="s">
        <v>64</v>
      </c>
      <c r="E125" s="175"/>
      <c r="F125" s="175"/>
      <c r="G125" s="175"/>
      <c r="H125" s="175"/>
      <c r="J125" s="32">
        <f>D119*H119*J119+D120*H120*J120+D121*H121*J121+D122*H122*J122+D123*H123*J123+D124*H124*J124</f>
        <v>23.031426070958119</v>
      </c>
    </row>
    <row r="126" spans="2:10" ht="15" x14ac:dyDescent="0.2">
      <c r="B126" s="24"/>
      <c r="C126" s="24"/>
      <c r="D126" s="24"/>
      <c r="E126" s="24"/>
      <c r="F126" s="175" t="s">
        <v>144</v>
      </c>
      <c r="G126" s="175"/>
      <c r="H126" s="175"/>
      <c r="I126" s="24"/>
      <c r="J126" s="86">
        <f>SUM(J125,J116,J108)</f>
        <v>457.05606987017904</v>
      </c>
    </row>
    <row r="127" spans="2:10" ht="15.75" thickBot="1" x14ac:dyDescent="0.25">
      <c r="B127" s="23"/>
      <c r="C127" s="23"/>
      <c r="D127" s="23"/>
      <c r="E127" s="23"/>
      <c r="F127" s="177" t="s">
        <v>143</v>
      </c>
      <c r="G127" s="177"/>
      <c r="H127" s="177"/>
      <c r="I127" s="23"/>
      <c r="J127" s="87">
        <f>J126*2.4</f>
        <v>1096.9345676884298</v>
      </c>
    </row>
    <row r="128" spans="2:10" x14ac:dyDescent="0.2">
      <c r="B128" s="36" t="s">
        <v>66</v>
      </c>
    </row>
    <row r="129" spans="8:10" x14ac:dyDescent="0.2"/>
    <row r="130" spans="8:10" x14ac:dyDescent="0.2">
      <c r="H130" s="159" t="s">
        <v>219</v>
      </c>
      <c r="I130" s="159"/>
      <c r="J130" s="159"/>
    </row>
    <row r="131" spans="8:10" x14ac:dyDescent="0.2"/>
    <row r="132" spans="8:10" x14ac:dyDescent="0.2"/>
    <row r="133" spans="8:10" x14ac:dyDescent="0.2"/>
    <row r="134" spans="8:10" x14ac:dyDescent="0.2"/>
    <row r="135" spans="8:10" x14ac:dyDescent="0.2">
      <c r="H135" s="160" t="s">
        <v>152</v>
      </c>
      <c r="I135" s="160"/>
      <c r="J135" s="160"/>
    </row>
    <row r="136" spans="8:10" x14ac:dyDescent="0.2">
      <c r="H136" s="159" t="s">
        <v>153</v>
      </c>
      <c r="I136" s="159"/>
      <c r="J136" s="159"/>
    </row>
    <row r="137" spans="8:10" x14ac:dyDescent="0.2">
      <c r="H137" s="159" t="s">
        <v>146</v>
      </c>
      <c r="I137" s="159"/>
      <c r="J137" s="159"/>
    </row>
    <row r="138" spans="8:10" x14ac:dyDescent="0.2"/>
  </sheetData>
  <mergeCells count="85">
    <mergeCell ref="K40:K41"/>
    <mergeCell ref="D17:H17"/>
    <mergeCell ref="D18:H18"/>
    <mergeCell ref="D51:H51"/>
    <mergeCell ref="D52:H52"/>
    <mergeCell ref="D28:H28"/>
    <mergeCell ref="H21:J21"/>
    <mergeCell ref="D23:H23"/>
    <mergeCell ref="H24:J24"/>
    <mergeCell ref="D25:H25"/>
    <mergeCell ref="I27:J27"/>
    <mergeCell ref="F71:H71"/>
    <mergeCell ref="C38:H38"/>
    <mergeCell ref="F127:H127"/>
    <mergeCell ref="B67:C68"/>
    <mergeCell ref="D67:D68"/>
    <mergeCell ref="E67:E68"/>
    <mergeCell ref="F67:H67"/>
    <mergeCell ref="H46:J46"/>
    <mergeCell ref="D48:H48"/>
    <mergeCell ref="D49:H49"/>
    <mergeCell ref="D50:H50"/>
    <mergeCell ref="H55:J55"/>
    <mergeCell ref="C39:H39"/>
    <mergeCell ref="I39:J39"/>
    <mergeCell ref="B40:C41"/>
    <mergeCell ref="D107:H107"/>
    <mergeCell ref="B79:C80"/>
    <mergeCell ref="D79:D80"/>
    <mergeCell ref="D91:H91"/>
    <mergeCell ref="H96:J96"/>
    <mergeCell ref="D105:H105"/>
    <mergeCell ref="D93:H93"/>
    <mergeCell ref="H106:J106"/>
    <mergeCell ref="E79:F79"/>
    <mergeCell ref="G79:H79"/>
    <mergeCell ref="H87:J87"/>
    <mergeCell ref="D89:H89"/>
    <mergeCell ref="D90:H90"/>
    <mergeCell ref="D92:H92"/>
    <mergeCell ref="H137:J137"/>
    <mergeCell ref="I109:J109"/>
    <mergeCell ref="D116:H116"/>
    <mergeCell ref="B117:C118"/>
    <mergeCell ref="D117:D118"/>
    <mergeCell ref="E117:E118"/>
    <mergeCell ref="F117:H117"/>
    <mergeCell ref="J117:J118"/>
    <mergeCell ref="D125:H125"/>
    <mergeCell ref="F126:H126"/>
    <mergeCell ref="H130:J130"/>
    <mergeCell ref="H135:J135"/>
    <mergeCell ref="H136:J136"/>
    <mergeCell ref="C77:H77"/>
    <mergeCell ref="C78:H78"/>
    <mergeCell ref="J29:J30"/>
    <mergeCell ref="D31:H31"/>
    <mergeCell ref="F32:H32"/>
    <mergeCell ref="D40:D41"/>
    <mergeCell ref="E40:F40"/>
    <mergeCell ref="G40:H40"/>
    <mergeCell ref="I78:J78"/>
    <mergeCell ref="J67:J68"/>
    <mergeCell ref="D58:H58"/>
    <mergeCell ref="H59:J59"/>
    <mergeCell ref="D61:H61"/>
    <mergeCell ref="I63:J63"/>
    <mergeCell ref="D66:H66"/>
    <mergeCell ref="D70:H70"/>
    <mergeCell ref="B29:C30"/>
    <mergeCell ref="D29:D30"/>
    <mergeCell ref="E29:E30"/>
    <mergeCell ref="F29:H29"/>
    <mergeCell ref="B1:J1"/>
    <mergeCell ref="C5:H5"/>
    <mergeCell ref="D15:H15"/>
    <mergeCell ref="D16:H16"/>
    <mergeCell ref="I5:J5"/>
    <mergeCell ref="B7:C8"/>
    <mergeCell ref="D7:D8"/>
    <mergeCell ref="E7:F7"/>
    <mergeCell ref="G7:H7"/>
    <mergeCell ref="H12:J12"/>
    <mergeCell ref="D14:H14"/>
    <mergeCell ref="C6:H6"/>
  </mergeCells>
  <pageMargins left="0.511811024" right="0.511811024" top="0.78740157499999996" bottom="0.78740157499999996" header="0.31496062000000002" footer="0.31496062000000002"/>
  <pageSetup scale="55" fitToWidth="0" fitToHeight="2" orientation="portrait" r:id="rId1"/>
  <rowBreaks count="1" manualBreakCount="1">
    <brk id="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Planilha</vt:lpstr>
      <vt:lpstr>Dados_gerais</vt:lpstr>
      <vt:lpstr>Caminhão basc 6 m³</vt:lpstr>
      <vt:lpstr>Caminhão basc 10 m³</vt:lpstr>
      <vt:lpstr>Caminhão silo 30 m²</vt:lpstr>
      <vt:lpstr>Insumos_betum</vt:lpstr>
      <vt:lpstr>Composições_próprias_1</vt:lpstr>
      <vt:lpstr>Composições_próprias_2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Chaves</dc:creator>
  <cp:lastModifiedBy>Bruno Chaves</cp:lastModifiedBy>
  <cp:lastPrinted>2024-11-20T16:10:58Z</cp:lastPrinted>
  <dcterms:created xsi:type="dcterms:W3CDTF">2024-10-17T16:20:54Z</dcterms:created>
  <dcterms:modified xsi:type="dcterms:W3CDTF">2025-05-14T18:44:11Z</dcterms:modified>
</cp:coreProperties>
</file>